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V:\2014\14174 Garðabær - Sveinskot\U-Útboðsgögn\U1-Útboðshefti\02 Tilboðsskrá\"/>
    </mc:Choice>
  </mc:AlternateContent>
  <xr:revisionPtr revIDLastSave="0" documentId="13_ncr:1_{F224DCC7-BAC2-4048-8601-AC95F212DA54}" xr6:coauthVersionLast="43" xr6:coauthVersionMax="43" xr10:uidLastSave="{00000000-0000-0000-0000-000000000000}"/>
  <bookViews>
    <workbookView xWindow="-120" yWindow="-120" windowWidth="38640" windowHeight="21240" tabRatio="694" activeTab="2" xr2:uid="{00000000-000D-0000-FFFF-FFFF00000000}"/>
  </bookViews>
  <sheets>
    <sheet name="TILBOÐSBÓK" sheetId="25" r:id="rId1"/>
    <sheet name="SAFNBLAÐ" sheetId="2" r:id="rId2"/>
    <sheet name="TILBOÐSSKRÁ" sheetId="1" r:id="rId3"/>
    <sheet name="Magn.reikn" sheetId="23" state="hidden" r:id="rId4"/>
  </sheets>
  <definedNames>
    <definedName name="_xlnm.Print_Area" localSheetId="2">TILBOÐSSKRÁ!$A$1:$K$193</definedName>
    <definedName name="_xlnm.Print_Titles" localSheetId="3">Magn.reikn!$1:$2</definedName>
    <definedName name="_xlnm.Print_Titles" localSheetId="2">TILBOÐSSKRÁ!$2:$4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3" i="1" l="1"/>
  <c r="J94" i="1"/>
  <c r="J96" i="1"/>
  <c r="J97" i="1"/>
  <c r="J98" i="1"/>
  <c r="J99" i="1"/>
  <c r="J100" i="1"/>
  <c r="J101" i="1"/>
  <c r="J103" i="1"/>
  <c r="J104" i="1"/>
  <c r="J106" i="1"/>
  <c r="J107" i="1"/>
  <c r="J108" i="1"/>
  <c r="J109" i="1"/>
  <c r="J111" i="1"/>
  <c r="J24" i="1"/>
  <c r="J28" i="1"/>
  <c r="J29" i="1"/>
  <c r="J31" i="1"/>
  <c r="J32" i="1"/>
  <c r="J33" i="1"/>
  <c r="J34" i="1"/>
  <c r="J36" i="1"/>
  <c r="J37" i="1"/>
  <c r="J41" i="1"/>
  <c r="J42" i="1"/>
  <c r="J44" i="1"/>
  <c r="J45" i="1"/>
  <c r="J47" i="1"/>
  <c r="J48" i="1"/>
  <c r="J50" i="1"/>
  <c r="J17" i="1"/>
  <c r="J18" i="1"/>
  <c r="J19" i="1"/>
  <c r="J21" i="1"/>
  <c r="J52" i="1"/>
  <c r="J177" i="1"/>
  <c r="J181" i="1"/>
  <c r="J183" i="1"/>
  <c r="J185" i="1"/>
  <c r="J187" i="1"/>
  <c r="J188" i="1"/>
  <c r="J189" i="1"/>
  <c r="J175" i="1"/>
  <c r="J178" i="1"/>
  <c r="J191" i="1"/>
  <c r="J116" i="1"/>
  <c r="J117" i="1"/>
  <c r="J118" i="1"/>
  <c r="J119" i="1"/>
  <c r="J120" i="1"/>
  <c r="J121" i="1"/>
  <c r="J123" i="1"/>
  <c r="J128" i="1"/>
  <c r="J129" i="1"/>
  <c r="J131" i="1"/>
  <c r="J132" i="1"/>
  <c r="J134" i="1"/>
  <c r="J135" i="1"/>
  <c r="J137" i="1"/>
  <c r="J138" i="1"/>
  <c r="J140" i="1"/>
  <c r="J141" i="1"/>
  <c r="J143" i="1"/>
  <c r="J148" i="1"/>
  <c r="J150" i="1"/>
  <c r="J151" i="1"/>
  <c r="J152" i="1"/>
  <c r="J154" i="1"/>
  <c r="J156" i="1"/>
  <c r="J160" i="1"/>
  <c r="J162" i="1"/>
  <c r="J163" i="1"/>
  <c r="J166" i="1"/>
  <c r="J169" i="1"/>
  <c r="J170" i="1"/>
  <c r="J172" i="1"/>
  <c r="J193" i="1"/>
  <c r="J56" i="1"/>
  <c r="J57" i="1"/>
  <c r="J59" i="1"/>
  <c r="J61" i="1"/>
  <c r="J63" i="1"/>
  <c r="J65" i="1"/>
  <c r="J67" i="1"/>
  <c r="J70" i="1"/>
  <c r="J71" i="1"/>
  <c r="J73" i="1"/>
  <c r="J75" i="1"/>
  <c r="J76" i="1"/>
  <c r="J78" i="1"/>
  <c r="J80" i="1"/>
  <c r="J88" i="1"/>
  <c r="J90" i="1"/>
  <c r="J82" i="1"/>
  <c r="J83" i="1"/>
  <c r="J84" i="1"/>
  <c r="J86" i="1"/>
  <c r="J11" i="1"/>
  <c r="J13" i="1"/>
  <c r="J6" i="1"/>
  <c r="J7" i="1"/>
  <c r="J9" i="1"/>
  <c r="H14" i="2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H3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B30" i="23"/>
  <c r="H33" i="23"/>
  <c r="I3" i="23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D3" i="23"/>
  <c r="D4" i="23"/>
  <c r="D5" i="23"/>
  <c r="D6" i="23"/>
  <c r="D7" i="23"/>
  <c r="D8" i="23"/>
  <c r="J8" i="23"/>
  <c r="D9" i="23"/>
  <c r="D10" i="23"/>
  <c r="J10" i="23"/>
  <c r="D11" i="23"/>
  <c r="J11" i="23"/>
  <c r="D12" i="23"/>
  <c r="D13" i="23"/>
  <c r="J13" i="23"/>
  <c r="D14" i="23"/>
  <c r="D15" i="23"/>
  <c r="J15" i="23"/>
  <c r="D16" i="23"/>
  <c r="J16" i="23"/>
  <c r="D17" i="23"/>
  <c r="J17" i="23"/>
  <c r="D18" i="23"/>
  <c r="J18" i="23"/>
  <c r="D19" i="23"/>
  <c r="D20" i="23"/>
  <c r="J20" i="23"/>
  <c r="D21" i="23"/>
  <c r="D22" i="23"/>
  <c r="D23" i="23"/>
  <c r="J23" i="23"/>
  <c r="D24" i="23"/>
  <c r="J24" i="23"/>
  <c r="D25" i="23"/>
  <c r="D26" i="23"/>
  <c r="J26" i="23"/>
  <c r="D27" i="23"/>
  <c r="J27" i="23"/>
  <c r="D28" i="23"/>
  <c r="D29" i="23"/>
  <c r="J29" i="23"/>
  <c r="J28" i="23"/>
  <c r="D30" i="23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D44" i="23"/>
  <c r="D43" i="23"/>
  <c r="J44" i="23"/>
  <c r="D42" i="23"/>
  <c r="D41" i="23"/>
  <c r="D40" i="23"/>
  <c r="D39" i="23"/>
  <c r="D38" i="23"/>
  <c r="J39" i="23"/>
  <c r="D37" i="23"/>
  <c r="J38" i="23"/>
  <c r="D36" i="23"/>
  <c r="J37" i="23"/>
  <c r="D35" i="23"/>
  <c r="D34" i="23"/>
  <c r="D33" i="23"/>
  <c r="C58" i="23"/>
  <c r="D45" i="23"/>
  <c r="D46" i="23"/>
  <c r="D47" i="23"/>
  <c r="D48" i="23"/>
  <c r="J48" i="23"/>
  <c r="D49" i="23"/>
  <c r="J49" i="23"/>
  <c r="D50" i="23"/>
  <c r="D51" i="23"/>
  <c r="D52" i="23"/>
  <c r="J52" i="23"/>
  <c r="D53" i="23"/>
  <c r="J53" i="23"/>
  <c r="D54" i="23"/>
  <c r="J54" i="23"/>
  <c r="D55" i="23"/>
  <c r="D56" i="23"/>
  <c r="D57" i="23"/>
  <c r="E58" i="23"/>
  <c r="F58" i="23"/>
  <c r="G58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J19" i="23"/>
  <c r="J3" i="23"/>
  <c r="H24" i="2"/>
  <c r="H22" i="2"/>
  <c r="D58" i="23"/>
  <c r="J51" i="23"/>
  <c r="K31" i="23"/>
  <c r="J33" i="23"/>
  <c r="J46" i="23"/>
  <c r="J40" i="23"/>
  <c r="J5" i="23"/>
  <c r="J56" i="23"/>
  <c r="J9" i="23"/>
  <c r="I58" i="23"/>
  <c r="J57" i="23"/>
  <c r="J34" i="23"/>
  <c r="J41" i="23"/>
  <c r="J22" i="23"/>
  <c r="K58" i="23"/>
  <c r="J47" i="23"/>
  <c r="J25" i="23"/>
  <c r="J14" i="23"/>
  <c r="J7" i="23"/>
  <c r="H30" i="23"/>
  <c r="M31" i="23"/>
  <c r="M58" i="23"/>
  <c r="L31" i="23"/>
  <c r="L58" i="23"/>
  <c r="J36" i="23"/>
  <c r="J45" i="23"/>
  <c r="J30" i="23"/>
  <c r="J21" i="23"/>
  <c r="J35" i="23"/>
  <c r="J50" i="23"/>
  <c r="J12" i="23"/>
  <c r="J6" i="23"/>
  <c r="J55" i="23"/>
  <c r="J42" i="23"/>
  <c r="J4" i="23"/>
  <c r="J43" i="23"/>
  <c r="B58" i="23"/>
  <c r="H12" i="2"/>
  <c r="H20" i="2"/>
  <c r="H16" i="2"/>
  <c r="H31" i="23"/>
  <c r="H58" i="23"/>
  <c r="H26" i="2"/>
  <c r="J31" i="23"/>
  <c r="J58" i="23"/>
  <c r="H18" i="2"/>
  <c r="H29" i="2"/>
</calcChain>
</file>

<file path=xl/sharedStrings.xml><?xml version="1.0" encoding="utf-8"?>
<sst xmlns="http://schemas.openxmlformats.org/spreadsheetml/2006/main" count="390" uniqueCount="262">
  <si>
    <t>Nr.</t>
  </si>
  <si>
    <t>Lýsing</t>
  </si>
  <si>
    <t>Magn</t>
  </si>
  <si>
    <t>Ein.</t>
  </si>
  <si>
    <t>Ein. verð</t>
  </si>
  <si>
    <t>Samtals</t>
  </si>
  <si>
    <t>Aðstaða</t>
  </si>
  <si>
    <t>heild</t>
  </si>
  <si>
    <t>JARÐVINNA</t>
  </si>
  <si>
    <t>m</t>
  </si>
  <si>
    <t>LAGNIR</t>
  </si>
  <si>
    <t>Lagning holræsa</t>
  </si>
  <si>
    <t>Leggja pípur og sanda</t>
  </si>
  <si>
    <t>stk.</t>
  </si>
  <si>
    <t>Niðurföll</t>
  </si>
  <si>
    <t>kr.</t>
  </si>
  <si>
    <t>1,5-2,0m</t>
  </si>
  <si>
    <t>Púkk</t>
  </si>
  <si>
    <t>2,0-2,5m</t>
  </si>
  <si>
    <t>AÐSTAÐA Á VINNUSVÆÐI</t>
  </si>
  <si>
    <t>Stöð</t>
  </si>
  <si>
    <t>Losun á klöpp</t>
  </si>
  <si>
    <r>
      <t>m</t>
    </r>
    <r>
      <rPr>
        <vertAlign val="superscript"/>
        <sz val="10"/>
        <rFont val="Arial"/>
        <family val="2"/>
      </rPr>
      <t>2</t>
    </r>
  </si>
  <si>
    <t>Fylling jarðvegur</t>
  </si>
  <si>
    <t>Uppúrtekt jarðvegur</t>
  </si>
  <si>
    <t>Grúsarfylling</t>
  </si>
  <si>
    <t>Grúsarfylling eða sprengd klöpp</t>
  </si>
  <si>
    <r>
      <t>m</t>
    </r>
    <r>
      <rPr>
        <vertAlign val="superscript"/>
        <sz val="10"/>
        <rFont val="Arial"/>
        <family val="2"/>
      </rPr>
      <t>3</t>
    </r>
  </si>
  <si>
    <t>Samtals:</t>
  </si>
  <si>
    <r>
      <t>m</t>
    </r>
    <r>
      <rPr>
        <vertAlign val="superscript"/>
        <sz val="10"/>
        <rFont val="Times New Roman"/>
        <family val="1"/>
      </rPr>
      <t>3</t>
    </r>
  </si>
  <si>
    <t>Niðurföll með sandfangi og vatnslás</t>
  </si>
  <si>
    <t>Holræsabrunnar</t>
  </si>
  <si>
    <t>Tvær fráveitulagnir og vatnslögn</t>
  </si>
  <si>
    <t>1.1</t>
  </si>
  <si>
    <t>1.3</t>
  </si>
  <si>
    <t xml:space="preserve">Skurðgröftur og fylling vegna lagna   </t>
  </si>
  <si>
    <t>1.4</t>
  </si>
  <si>
    <t>1.4.1</t>
  </si>
  <si>
    <t>1.4.2</t>
  </si>
  <si>
    <t>1.4.3</t>
  </si>
  <si>
    <t>Ø150 mm pípur, niðurfallaleggir og heimæðar</t>
  </si>
  <si>
    <t>FYLLINGAR OG BURÐARLÖG</t>
  </si>
  <si>
    <t>1.5</t>
  </si>
  <si>
    <t>1.5.1</t>
  </si>
  <si>
    <t>Samtals tilboðsliður 1.1</t>
  </si>
  <si>
    <t>Samtals tilboðsliður 1.3.1</t>
  </si>
  <si>
    <t>Samtals tilboðsliður 1.3</t>
  </si>
  <si>
    <t>Samtals tilboðsliður 1.4.1</t>
  </si>
  <si>
    <t>Samtals tilboðsliður 1.4.2</t>
  </si>
  <si>
    <t>Samtals tilboðsliður 1.4.3</t>
  </si>
  <si>
    <t>Samtals tilboðsliður 1.4</t>
  </si>
  <si>
    <t>Samtals tilboðsliður 1.5</t>
  </si>
  <si>
    <t>1.2</t>
  </si>
  <si>
    <t>FYLLING OG BURÐARLÖG</t>
  </si>
  <si>
    <t>SÉRFRÆÐIVINNA</t>
  </si>
  <si>
    <t>Samtals tilboðsliður 1.2</t>
  </si>
  <si>
    <r>
      <t>m</t>
    </r>
    <r>
      <rPr>
        <vertAlign val="superscript"/>
        <sz val="10"/>
        <rFont val="Times New Roman"/>
        <family val="1"/>
      </rPr>
      <t>2</t>
    </r>
  </si>
  <si>
    <t>1.8</t>
  </si>
  <si>
    <t>VEITUR</t>
  </si>
  <si>
    <t>1.8.1</t>
  </si>
  <si>
    <t>Samtals tilboðsliður 1.8.1</t>
  </si>
  <si>
    <t>1.8.2</t>
  </si>
  <si>
    <t>Samtals tilboðsliður 1.8.2</t>
  </si>
  <si>
    <t>a)</t>
  </si>
  <si>
    <t>b)</t>
  </si>
  <si>
    <t>Götulýsing</t>
  </si>
  <si>
    <t>Míla</t>
  </si>
  <si>
    <t>1.3.2</t>
  </si>
  <si>
    <t>1.8.3</t>
  </si>
  <si>
    <t>1.8.5</t>
  </si>
  <si>
    <t>Samtals tilboðsliður 1.8.3</t>
  </si>
  <si>
    <t>Samtals tilboðsliður 1.8.5</t>
  </si>
  <si>
    <t>Samtals tilboðsliður 1.8</t>
  </si>
  <si>
    <t>Veitur</t>
  </si>
  <si>
    <t>Samtals tilboðsliður 1.3.2</t>
  </si>
  <si>
    <t>1,0-1,5m</t>
  </si>
  <si>
    <t>Losun á klöpp í skurðum</t>
  </si>
  <si>
    <t>Brunnar  ø1000      H &gt; 2,5 m</t>
  </si>
  <si>
    <t>Samtals Kr.</t>
  </si>
  <si>
    <t>1.4.4</t>
  </si>
  <si>
    <t>Samtals tilboðsliður 1.4.4</t>
  </si>
  <si>
    <t>Rafmagnsveita</t>
  </si>
  <si>
    <t>Samtals tilboðsliður 1.8.6</t>
  </si>
  <si>
    <t>1.8.6</t>
  </si>
  <si>
    <t>1.8.6.1</t>
  </si>
  <si>
    <t>1.8.2.1</t>
  </si>
  <si>
    <t>Einangruð stálrör</t>
  </si>
  <si>
    <t>Jarðlokar</t>
  </si>
  <si>
    <t>Tengingar við núverandi lagnir</t>
  </si>
  <si>
    <t>Frauðplötur</t>
  </si>
  <si>
    <t>stk</t>
  </si>
  <si>
    <t>1.8.5.2</t>
  </si>
  <si>
    <t>1.8.5.3</t>
  </si>
  <si>
    <t>1.8.3.1</t>
  </si>
  <si>
    <t>Ídráttarrör</t>
  </si>
  <si>
    <t>Ø110mm</t>
  </si>
  <si>
    <t>1.8.3.2</t>
  </si>
  <si>
    <t>Gröftur:</t>
  </si>
  <si>
    <t>1.3.1.1</t>
  </si>
  <si>
    <t>1.3.1.2</t>
  </si>
  <si>
    <t>Sögun á malbiki</t>
  </si>
  <si>
    <t>1.3.1</t>
  </si>
  <si>
    <t>Upprif malbiks</t>
  </si>
  <si>
    <t>Uppúrtekt og skurðir</t>
  </si>
  <si>
    <t>1.3.2.1</t>
  </si>
  <si>
    <t>1.3.2.2</t>
  </si>
  <si>
    <t>1.5.2</t>
  </si>
  <si>
    <t>Fyllingar í götur og stéttar</t>
  </si>
  <si>
    <t>1.8.1.1</t>
  </si>
  <si>
    <t>1.8.1.2</t>
  </si>
  <si>
    <t>1.8.1.3</t>
  </si>
  <si>
    <t>Tengiholur</t>
  </si>
  <si>
    <t>1.8.2.6</t>
  </si>
  <si>
    <t>Fjarlægja eldri lagnir</t>
  </si>
  <si>
    <t>1.8.2.7</t>
  </si>
  <si>
    <t>2. TILBOÐSBLAÐ</t>
  </si>
  <si>
    <t>útboðs- og verklýsingu og þeim gögnum sem þar er vísað til.</t>
  </si>
  <si>
    <t>Tilboðsverð er kr.</t>
  </si>
  <si>
    <t>með virðisaukaskatti.</t>
  </si>
  <si>
    <t>Upplýsingar um bjóðanda og undriskrift</t>
  </si>
  <si>
    <t>Nafn bjóðanda</t>
  </si>
  <si>
    <t>Kennitala</t>
  </si>
  <si>
    <t>Heimilisfang</t>
  </si>
  <si>
    <t>Sími</t>
  </si>
  <si>
    <t>Tölvupóstfang / netfang</t>
  </si>
  <si>
    <t>Tengiliður varðandi tilboð</t>
  </si>
  <si>
    <t>Staður og dagsetning tilboðs</t>
  </si>
  <si>
    <t>Undirskrift bjóðanda</t>
  </si>
  <si>
    <t>Fylgigögn bjóðanda með tilboði:</t>
  </si>
  <si>
    <t>Nöfn og starfsreynsla helstu stjórnenda og starsmanna sem að verkinu koma.</t>
  </si>
  <si>
    <t>Almennar upplýsingar um bjóðanda, fyrirtæki hans og stafslið.</t>
  </si>
  <si>
    <t>Lýsing á gæðastjórnunarkerfi bjóðanda.</t>
  </si>
  <si>
    <t>Skrá yfir helstu vélar, tæki og búnað sem fyrirhugað er að nota í verkinu.</t>
  </si>
  <si>
    <t>Yfirlýsing frá banka/tryggingafélagi um verktryggingu vegna verksins.</t>
  </si>
  <si>
    <t>Skrá yfir undirverktaka er bjóðandi hyggst ráða til verksins.</t>
  </si>
  <si>
    <t>Upplýsingar um yfirstjórnanda verksins.</t>
  </si>
  <si>
    <t>Upplýsinga um tæknilegan ráðgjafa verksins.</t>
  </si>
  <si>
    <t>Skrá yfir sambærileg verk sem bjóðandi hefur unnið.</t>
  </si>
  <si>
    <t>Ég hef kynnt mér öll ákvæði útboðsgagna og í samræmi við þau býð ég að fullgera verkið fyrir.</t>
  </si>
  <si>
    <t xml:space="preserve">SAFNBLAÐ </t>
  </si>
  <si>
    <t>Eyðublöð yfir flest ofanskráð atriði má finna í 2. kafla útboðs og verklýsingar.</t>
  </si>
  <si>
    <t>c)</t>
  </si>
  <si>
    <t>Vinnusvæðamerkingar</t>
  </si>
  <si>
    <t>Upprif gangstétta og kantsteina</t>
  </si>
  <si>
    <t>Ø200 mm pípur</t>
  </si>
  <si>
    <t>1.5.3</t>
  </si>
  <si>
    <t>1.6</t>
  </si>
  <si>
    <t>MALBIKUN</t>
  </si>
  <si>
    <t>Jarðvinnusnið breidd &lt; 0,5m</t>
  </si>
  <si>
    <t xml:space="preserve">Jarðvinnusnið breidd  &gt;0,5m - 1,0m </t>
  </si>
  <si>
    <t>Jarðvinnusnið breidd  &gt;1,0m - 1,5m</t>
  </si>
  <si>
    <t>Jarðvinnusnið breidd  &gt;1,5m</t>
  </si>
  <si>
    <t xml:space="preserve">Gagnaveita </t>
  </si>
  <si>
    <t>1.8.4</t>
  </si>
  <si>
    <t>1.7</t>
  </si>
  <si>
    <t>YFIRBORÐSFRÁGANGUR</t>
  </si>
  <si>
    <t>Stungumalbik, götur, AC11 60mm</t>
  </si>
  <si>
    <t>Steyptar séttar</t>
  </si>
  <si>
    <t>Þökulögn</t>
  </si>
  <si>
    <t>Syrktarlag (neðra burðarlag)</t>
  </si>
  <si>
    <t>DN65-DN50</t>
  </si>
  <si>
    <t>DN32-DN25</t>
  </si>
  <si>
    <t>PEX DN25</t>
  </si>
  <si>
    <t>1.8.2.2</t>
  </si>
  <si>
    <t>Einangruð PEX rör</t>
  </si>
  <si>
    <t>1.8.2.4</t>
  </si>
  <si>
    <t>DN25 Heimæðarlokar</t>
  </si>
  <si>
    <t>Tenging við DN80</t>
  </si>
  <si>
    <t>Allt að DN50 lögnum</t>
  </si>
  <si>
    <t>Ø110 PL</t>
  </si>
  <si>
    <t>Ø32 PL</t>
  </si>
  <si>
    <t>Lokar og spindlar</t>
  </si>
  <si>
    <t>Ø110 mm renniloki</t>
  </si>
  <si>
    <t>1.4.4.1</t>
  </si>
  <si>
    <t>Kaldavatnslagnir</t>
  </si>
  <si>
    <t>1.4.4.2</t>
  </si>
  <si>
    <t>1.4.4.3</t>
  </si>
  <si>
    <t>Ótengdar heimlagnir</t>
  </si>
  <si>
    <t>1.4.4.4</t>
  </si>
  <si>
    <t>1.8.6.2</t>
  </si>
  <si>
    <t>Tengimúffur</t>
  </si>
  <si>
    <t>1.8.6.4</t>
  </si>
  <si>
    <t>Ljósastaurar</t>
  </si>
  <si>
    <t>Niðurtekt</t>
  </si>
  <si>
    <t>Ljósastólpar, h=5,0 m yfir jörðu</t>
  </si>
  <si>
    <t>Ljósastólpar, h=6,3 m yfir jörðu</t>
  </si>
  <si>
    <t>Nýir staurar</t>
  </si>
  <si>
    <t>1.8.6.5</t>
  </si>
  <si>
    <t>Ljósker</t>
  </si>
  <si>
    <t>1.8.6.6.</t>
  </si>
  <si>
    <t>Úttekt skoðunarstofu</t>
  </si>
  <si>
    <t>Samtals tilboðsliður 1.8.4</t>
  </si>
  <si>
    <t xml:space="preserve"> Þykkt 0,5-1,0m</t>
  </si>
  <si>
    <t>Tvær fráveitulagnir (heimæðar)</t>
  </si>
  <si>
    <t>Þykkt 0,5-1,0m</t>
  </si>
  <si>
    <t>Einföld lögn, (niðurföll eða vatnslögn)</t>
  </si>
  <si>
    <t>10 mm heimtaugarör</t>
  </si>
  <si>
    <t>50 mm rör</t>
  </si>
  <si>
    <t>110 mm rör</t>
  </si>
  <si>
    <t>PEX samsetningar</t>
  </si>
  <si>
    <t>Ótengdir lagnaendar</t>
  </si>
  <si>
    <t>Lagning stofnröra Ø50mm gul PE rör</t>
  </si>
  <si>
    <t>Lagning heimtagaröra, Ø7mm blástursrör</t>
  </si>
  <si>
    <t>Tengiskápar</t>
  </si>
  <si>
    <t>Tengiskápar uppsetning</t>
  </si>
  <si>
    <t>Strenglagnir</t>
  </si>
  <si>
    <r>
      <t>Strengur, 4*10-16mm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CU</t>
    </r>
  </si>
  <si>
    <r>
      <t>Strengur, 4*240mm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Al</t>
    </r>
  </si>
  <si>
    <r>
      <t>Jarðvír 35mm</t>
    </r>
    <r>
      <rPr>
        <vertAlign val="superscript"/>
        <sz val="10"/>
        <rFont val="Times New Roman"/>
        <family val="1"/>
      </rPr>
      <t>2</t>
    </r>
  </si>
  <si>
    <t>1.8.3.3</t>
  </si>
  <si>
    <t>Strengrör / Þverunarrör</t>
  </si>
  <si>
    <t>Samtals tilboðsliður 1.6</t>
  </si>
  <si>
    <t>Samtals tilboðsliður 1.7</t>
  </si>
  <si>
    <t>Hellulögn:</t>
  </si>
  <si>
    <t>Fornsteinn B eða sambærilegur, hvítur</t>
  </si>
  <si>
    <t>Upprif</t>
  </si>
  <si>
    <t>Upprif malbiki, köntum og stéttum</t>
  </si>
  <si>
    <t>Uppúrtekt</t>
  </si>
  <si>
    <t>Uppúrtekt úr götum, stéttum og stígum</t>
  </si>
  <si>
    <t>1.3.2.3</t>
  </si>
  <si>
    <t>Kaldavatnslagnir úr plasti</t>
  </si>
  <si>
    <t>Burðarlag (mulningur 0-22mm)</t>
  </si>
  <si>
    <t>Vélsteyptir kantsteinar 10cm.</t>
  </si>
  <si>
    <t>1.7.1</t>
  </si>
  <si>
    <t>1.7.2</t>
  </si>
  <si>
    <t>1.7.3</t>
  </si>
  <si>
    <t>1.7.4</t>
  </si>
  <si>
    <t>1.7.5</t>
  </si>
  <si>
    <t>Gróðurmold undir þökulögn</t>
  </si>
  <si>
    <r>
      <t>m</t>
    </r>
    <r>
      <rPr>
        <vertAlign val="superscript"/>
        <sz val="10"/>
        <rFont val="Times New Roman"/>
        <family val="1"/>
      </rPr>
      <t>3</t>
    </r>
    <r>
      <rPr>
        <sz val="11"/>
        <color theme="1"/>
        <rFont val="Calibri"/>
        <family val="2"/>
        <scheme val="minor"/>
      </rPr>
      <t/>
    </r>
  </si>
  <si>
    <t>Jarðvinna fyrir veitufyrirtæki</t>
  </si>
  <si>
    <t>Fylling</t>
  </si>
  <si>
    <t>Hitaveitulagnir (Veitur ohf.)</t>
  </si>
  <si>
    <t>1.8.2.3</t>
  </si>
  <si>
    <t>1.8.2.5</t>
  </si>
  <si>
    <t>Röralögn</t>
  </si>
  <si>
    <t>1.8.4.1</t>
  </si>
  <si>
    <t>1.8.4.2</t>
  </si>
  <si>
    <t>Ídráttarrör Ø50mm</t>
  </si>
  <si>
    <t>Ljósastrengir lagðir í skurð</t>
  </si>
  <si>
    <t xml:space="preserve">Jarðstrengur 4x10 mm2 Cu </t>
  </si>
  <si>
    <t>Færsla á staurum</t>
  </si>
  <si>
    <t>Lampi 1</t>
  </si>
  <si>
    <t>Lampi 2</t>
  </si>
  <si>
    <t>Fornsteinn B eða sambærilegur, rauður</t>
  </si>
  <si>
    <t>Jötunsteinn eða sambærilegur, grár</t>
  </si>
  <si>
    <t>Jötunsteinn eða sambærilegur, svartur</t>
  </si>
  <si>
    <t>Steypu</t>
  </si>
  <si>
    <t>Plasti</t>
  </si>
  <si>
    <t>Verktaki býður fráveitu- og ofanvatnslagnir úr:</t>
  </si>
  <si>
    <t xml:space="preserve">Undirritaður  gerir hér með tilboð í verkið  " Garðabær - Sveinskot ; Gatnagerð og lagnir " , samkvæmt </t>
  </si>
  <si>
    <t>1.7.6</t>
  </si>
  <si>
    <t>Umferðarskilti</t>
  </si>
  <si>
    <t>Viðvörunarmerki</t>
  </si>
  <si>
    <t>Boðmerki</t>
  </si>
  <si>
    <t>1.7.7</t>
  </si>
  <si>
    <t>Undirstöður fyrir umferðarskilti, rör og festingar</t>
  </si>
  <si>
    <t>Undirstöður (140 kg)</t>
  </si>
  <si>
    <t>Rör</t>
  </si>
  <si>
    <t>Bakfestingar</t>
  </si>
  <si>
    <t>1.7.8</t>
  </si>
  <si>
    <t>Málaðir biðskylduþríhyrningar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</si>
</sst>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._-;\-* #,##0.00\ _k_r_._-;_-* &quot;-&quot;??\ _k_r_._-;_-@_-"/>
    <numFmt numFmtId="165" formatCode="_-* #,##0\ _k_r_._-;\-* #,##0\ _k_r_._-;_-* &quot;-&quot;??\ _k_r_._-;_-@_-"/>
    <numFmt numFmtId="166" formatCode="#,##0.0"/>
    <numFmt numFmtId="167" formatCode="_-* #,##0\ _k_r_-;\-* #,##0\ _k_r_-;_-* &quot;-&quot;??\ _k_r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02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/>
    <xf numFmtId="3" fontId="6" fillId="0" borderId="6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4" fontId="5" fillId="0" borderId="6" xfId="0" applyNumberFormat="1" applyFont="1" applyBorder="1"/>
    <xf numFmtId="4" fontId="5" fillId="0" borderId="7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0" borderId="14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4" fontId="5" fillId="0" borderId="14" xfId="0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3" fontId="6" fillId="0" borderId="18" xfId="0" applyNumberFormat="1" applyFont="1" applyBorder="1"/>
    <xf numFmtId="3" fontId="6" fillId="0" borderId="17" xfId="0" applyNumberFormat="1" applyFont="1" applyBorder="1"/>
    <xf numFmtId="4" fontId="5" fillId="0" borderId="18" xfId="0" applyNumberFormat="1" applyFont="1" applyBorder="1"/>
    <xf numFmtId="0" fontId="6" fillId="0" borderId="19" xfId="0" applyFont="1" applyBorder="1"/>
    <xf numFmtId="0" fontId="5" fillId="0" borderId="20" xfId="0" applyFont="1" applyBorder="1"/>
    <xf numFmtId="3" fontId="5" fillId="0" borderId="21" xfId="0" applyNumberFormat="1" applyFont="1" applyBorder="1"/>
    <xf numFmtId="3" fontId="5" fillId="0" borderId="22" xfId="0" applyNumberFormat="1" applyFont="1" applyBorder="1"/>
    <xf numFmtId="0" fontId="8" fillId="0" borderId="0" xfId="0" applyFont="1"/>
    <xf numFmtId="0" fontId="3" fillId="0" borderId="0" xfId="0" applyFont="1" applyBorder="1"/>
    <xf numFmtId="49" fontId="9" fillId="0" borderId="0" xfId="0" applyNumberFormat="1" applyFont="1" applyBorder="1" applyAlignment="1">
      <alignment horizontal="centerContinuous"/>
    </xf>
    <xf numFmtId="49" fontId="10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1" fontId="8" fillId="0" borderId="0" xfId="0" applyNumberFormat="1" applyFont="1" applyBorder="1"/>
    <xf numFmtId="1" fontId="8" fillId="0" borderId="0" xfId="0" applyNumberFormat="1" applyFont="1"/>
    <xf numFmtId="49" fontId="8" fillId="0" borderId="23" xfId="1" applyNumberFormat="1" applyFont="1" applyBorder="1" applyAlignment="1">
      <alignment horizontal="center"/>
    </xf>
    <xf numFmtId="0" fontId="11" fillId="0" borderId="23" xfId="0" applyFont="1" applyBorder="1"/>
    <xf numFmtId="0" fontId="11" fillId="0" borderId="23" xfId="0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1" fillId="0" borderId="0" xfId="0" applyNumberFormat="1" applyFont="1"/>
    <xf numFmtId="0" fontId="11" fillId="0" borderId="0" xfId="0" applyFont="1" applyAlignment="1">
      <alignment horizontal="left" indent="2"/>
    </xf>
    <xf numFmtId="9" fontId="11" fillId="0" borderId="0" xfId="2" applyFont="1" applyBorder="1" applyAlignment="1">
      <alignment horizontal="left" indent="2"/>
    </xf>
    <xf numFmtId="1" fontId="11" fillId="0" borderId="0" xfId="0" applyNumberFormat="1" applyFont="1"/>
    <xf numFmtId="0" fontId="13" fillId="0" borderId="0" xfId="0" applyFont="1"/>
    <xf numFmtId="3" fontId="11" fillId="0" borderId="23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left" indent="2"/>
    </xf>
    <xf numFmtId="3" fontId="8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0" fontId="7" fillId="0" borderId="0" xfId="0" applyFont="1" applyBorder="1"/>
    <xf numFmtId="1" fontId="11" fillId="0" borderId="0" xfId="0" applyNumberFormat="1" applyFont="1" applyBorder="1"/>
    <xf numFmtId="0" fontId="3" fillId="0" borderId="23" xfId="0" applyFont="1" applyBorder="1"/>
    <xf numFmtId="0" fontId="11" fillId="0" borderId="25" xfId="0" applyFont="1" applyBorder="1"/>
    <xf numFmtId="49" fontId="9" fillId="0" borderId="25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3" fontId="13" fillId="0" borderId="26" xfId="0" applyNumberFormat="1" applyFont="1" applyBorder="1" applyAlignment="1" applyProtection="1">
      <alignment horizontal="right" indent="1"/>
    </xf>
    <xf numFmtId="3" fontId="12" fillId="0" borderId="26" xfId="0" applyNumberFormat="1" applyFont="1" applyBorder="1" applyAlignment="1" applyProtection="1">
      <alignment horizontal="right" indent="1"/>
    </xf>
    <xf numFmtId="3" fontId="13" fillId="0" borderId="26" xfId="0" applyNumberFormat="1" applyFont="1" applyBorder="1" applyAlignment="1" applyProtection="1">
      <alignment horizontal="right" indent="1"/>
      <protection locked="0"/>
    </xf>
    <xf numFmtId="0" fontId="11" fillId="0" borderId="0" xfId="0" applyFont="1" applyAlignment="1" applyProtection="1"/>
    <xf numFmtId="49" fontId="9" fillId="0" borderId="26" xfId="0" applyNumberFormat="1" applyFont="1" applyBorder="1" applyAlignment="1" applyProtection="1"/>
    <xf numFmtId="0" fontId="9" fillId="0" borderId="26" xfId="0" applyFont="1" applyBorder="1" applyAlignment="1" applyProtection="1"/>
    <xf numFmtId="3" fontId="9" fillId="0" borderId="26" xfId="0" applyNumberFormat="1" applyFont="1" applyBorder="1" applyAlignment="1" applyProtection="1">
      <alignment horizontal="right"/>
    </xf>
    <xf numFmtId="3" fontId="9" fillId="0" borderId="26" xfId="0" applyNumberFormat="1" applyFont="1" applyBorder="1" applyAlignment="1" applyProtection="1">
      <alignment horizontal="center"/>
    </xf>
    <xf numFmtId="0" fontId="9" fillId="0" borderId="26" xfId="0" applyFont="1" applyBorder="1" applyAlignment="1" applyProtection="1">
      <alignment horizontal="center"/>
    </xf>
    <xf numFmtId="0" fontId="10" fillId="0" borderId="0" xfId="0" applyFont="1" applyAlignment="1" applyProtection="1"/>
    <xf numFmtId="49" fontId="13" fillId="0" borderId="0" xfId="0" applyNumberFormat="1" applyFont="1" applyBorder="1" applyAlignment="1" applyProtection="1"/>
    <xf numFmtId="0" fontId="12" fillId="0" borderId="0" xfId="0" applyFont="1" applyBorder="1" applyAlignment="1" applyProtection="1"/>
    <xf numFmtId="3" fontId="13" fillId="0" borderId="0" xfId="0" applyNumberFormat="1" applyFont="1" applyBorder="1" applyAlignment="1" applyProtection="1">
      <alignment horizontal="right"/>
    </xf>
    <xf numFmtId="3" fontId="13" fillId="0" borderId="0" xfId="0" applyNumberFormat="1" applyFont="1" applyBorder="1" applyAlignment="1" applyProtection="1"/>
    <xf numFmtId="0" fontId="13" fillId="0" borderId="0" xfId="0" applyFont="1" applyBorder="1" applyAlignment="1" applyProtection="1">
      <alignment horizontal="center"/>
    </xf>
    <xf numFmtId="3" fontId="13" fillId="0" borderId="0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/>
    <xf numFmtId="49" fontId="9" fillId="0" borderId="0" xfId="0" applyNumberFormat="1" applyFont="1" applyBorder="1" applyAlignment="1" applyProtection="1"/>
    <xf numFmtId="0" fontId="9" fillId="0" borderId="0" xfId="0" applyFont="1" applyBorder="1" applyAlignment="1" applyProtection="1"/>
    <xf numFmtId="3" fontId="9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right" indent="1"/>
    </xf>
    <xf numFmtId="3" fontId="13" fillId="0" borderId="0" xfId="0" applyNumberFormat="1" applyFont="1" applyBorder="1" applyAlignment="1" applyProtection="1">
      <alignment horizontal="right" indent="1"/>
    </xf>
    <xf numFmtId="0" fontId="13" fillId="2" borderId="0" xfId="0" applyFont="1" applyFill="1" applyBorder="1" applyAlignment="1" applyProtection="1">
      <alignment horizontal="center"/>
    </xf>
    <xf numFmtId="3" fontId="13" fillId="2" borderId="0" xfId="0" applyNumberFormat="1" applyFont="1" applyFill="1" applyBorder="1" applyAlignment="1" applyProtection="1"/>
    <xf numFmtId="0" fontId="9" fillId="2" borderId="0" xfId="0" applyFont="1" applyFill="1" applyBorder="1" applyAlignment="1" applyProtection="1">
      <alignment horizontal="right" indent="1"/>
    </xf>
    <xf numFmtId="3" fontId="13" fillId="2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 indent="1"/>
    </xf>
    <xf numFmtId="3" fontId="12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horizontal="center"/>
    </xf>
    <xf numFmtId="3" fontId="12" fillId="0" borderId="0" xfId="0" applyNumberFormat="1" applyFont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3" fontId="12" fillId="2" borderId="0" xfId="0" applyNumberFormat="1" applyFont="1" applyFill="1" applyBorder="1" applyAlignment="1" applyProtection="1"/>
    <xf numFmtId="3" fontId="12" fillId="2" borderId="0" xfId="0" applyNumberFormat="1" applyFont="1" applyFill="1" applyBorder="1" applyAlignment="1" applyProtection="1">
      <alignment horizontal="center"/>
    </xf>
    <xf numFmtId="3" fontId="13" fillId="0" borderId="26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Alignment="1" applyProtection="1"/>
    <xf numFmtId="0" fontId="13" fillId="0" borderId="0" xfId="0" applyFont="1" applyAlignment="1" applyProtection="1">
      <alignment horizontal="center"/>
    </xf>
    <xf numFmtId="3" fontId="9" fillId="0" borderId="0" xfId="0" applyNumberFormat="1" applyFont="1" applyAlignment="1" applyProtection="1">
      <alignment horizontal="right" indent="1"/>
    </xf>
    <xf numFmtId="0" fontId="15" fillId="0" borderId="0" xfId="0" applyFont="1" applyBorder="1" applyAlignment="1" applyProtection="1">
      <alignment horizontal="right" indent="1"/>
    </xf>
    <xf numFmtId="3" fontId="9" fillId="0" borderId="27" xfId="0" applyNumberFormat="1" applyFont="1" applyBorder="1" applyAlignment="1" applyProtection="1">
      <alignment horizontal="right" indent="1"/>
    </xf>
    <xf numFmtId="0" fontId="12" fillId="0" borderId="0" xfId="0" applyFont="1" applyAlignment="1" applyProtection="1">
      <alignment horizontal="right" indent="1"/>
    </xf>
    <xf numFmtId="3" fontId="7" fillId="0" borderId="0" xfId="0" applyNumberFormat="1" applyFont="1" applyBorder="1" applyAlignment="1" applyProtection="1">
      <alignment horizontal="right" indent="1"/>
    </xf>
    <xf numFmtId="0" fontId="12" fillId="0" borderId="0" xfId="0" applyFont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 indent="1"/>
    </xf>
    <xf numFmtId="0" fontId="13" fillId="2" borderId="0" xfId="0" applyFont="1" applyFill="1" applyAlignment="1" applyProtection="1">
      <alignment horizontal="center"/>
    </xf>
    <xf numFmtId="3" fontId="13" fillId="0" borderId="0" xfId="0" applyNumberFormat="1" applyFont="1" applyAlignment="1" applyProtection="1">
      <alignment horizontal="right" indent="1"/>
    </xf>
    <xf numFmtId="49" fontId="13" fillId="0" borderId="0" xfId="0" applyNumberFormat="1" applyFont="1" applyAlignment="1" applyProtection="1"/>
    <xf numFmtId="0" fontId="12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right" indent="1"/>
    </xf>
    <xf numFmtId="0" fontId="2" fillId="0" borderId="0" xfId="0" applyFont="1" applyAlignment="1" applyProtection="1">
      <alignment horizontal="right" indent="1"/>
    </xf>
    <xf numFmtId="0" fontId="3" fillId="0" borderId="0" xfId="0" applyFont="1" applyAlignment="1" applyProtection="1"/>
    <xf numFmtId="0" fontId="13" fillId="0" borderId="0" xfId="0" applyFont="1" applyAlignment="1" applyProtection="1"/>
    <xf numFmtId="3" fontId="13" fillId="0" borderId="0" xfId="0" applyNumberFormat="1" applyFont="1" applyFill="1" applyAlignment="1" applyProtection="1">
      <alignment horizontal="right" indent="1"/>
    </xf>
    <xf numFmtId="0" fontId="9" fillId="0" borderId="0" xfId="0" applyFont="1" applyAlignment="1" applyProtection="1"/>
    <xf numFmtId="0" fontId="13" fillId="0" borderId="0" xfId="0" applyFont="1" applyAlignment="1" applyProtection="1">
      <alignment horizontal="right" indent="1"/>
    </xf>
    <xf numFmtId="3" fontId="13" fillId="2" borderId="0" xfId="0" applyNumberFormat="1" applyFont="1" applyFill="1" applyAlignment="1" applyProtection="1"/>
    <xf numFmtId="0" fontId="9" fillId="2" borderId="0" xfId="0" applyFont="1" applyFill="1" applyAlignment="1" applyProtection="1">
      <alignment horizontal="right" indent="1"/>
    </xf>
    <xf numFmtId="49" fontId="12" fillId="0" borderId="0" xfId="0" applyNumberFormat="1" applyFont="1" applyAlignment="1" applyProtection="1"/>
    <xf numFmtId="0" fontId="13" fillId="0" borderId="0" xfId="0" applyFont="1" applyBorder="1" applyAlignment="1" applyProtection="1"/>
    <xf numFmtId="0" fontId="12" fillId="0" borderId="0" xfId="0" applyFont="1" applyFill="1" applyBorder="1" applyProtection="1"/>
    <xf numFmtId="49" fontId="11" fillId="0" borderId="0" xfId="0" applyNumberFormat="1" applyFont="1" applyAlignment="1" applyProtection="1"/>
    <xf numFmtId="3" fontId="13" fillId="0" borderId="0" xfId="0" applyNumberFormat="1" applyFont="1" applyAlignment="1" applyProtection="1">
      <alignment horizontal="right"/>
    </xf>
    <xf numFmtId="3" fontId="9" fillId="0" borderId="0" xfId="0" applyNumberFormat="1" applyFont="1" applyAlignment="1" applyProtection="1">
      <alignment horizontal="right"/>
    </xf>
    <xf numFmtId="3" fontId="0" fillId="0" borderId="0" xfId="0" applyNumberFormat="1" applyProtection="1"/>
    <xf numFmtId="0" fontId="12" fillId="0" borderId="0" xfId="0" applyFont="1" applyAlignment="1" applyProtection="1">
      <alignment horizontal="center"/>
    </xf>
    <xf numFmtId="0" fontId="3" fillId="0" borderId="23" xfId="0" applyFont="1" applyBorder="1" applyAlignment="1">
      <alignment horizontal="center"/>
    </xf>
    <xf numFmtId="0" fontId="9" fillId="0" borderId="0" xfId="0" applyFont="1" applyBorder="1" applyAlignment="1" applyProtection="1">
      <alignment horizontal="left"/>
    </xf>
    <xf numFmtId="0" fontId="3" fillId="0" borderId="0" xfId="0" applyFont="1"/>
    <xf numFmtId="3" fontId="11" fillId="0" borderId="0" xfId="0" applyNumberFormat="1" applyFont="1" applyAlignment="1"/>
    <xf numFmtId="3" fontId="10" fillId="0" borderId="0" xfId="0" applyNumberFormat="1" applyFont="1" applyAlignment="1" applyProtection="1"/>
    <xf numFmtId="0" fontId="0" fillId="0" borderId="0" xfId="0" applyBorder="1"/>
    <xf numFmtId="0" fontId="8" fillId="0" borderId="0" xfId="0" applyFont="1" applyBorder="1"/>
    <xf numFmtId="49" fontId="9" fillId="0" borderId="0" xfId="0" applyNumberFormat="1" applyFont="1" applyAlignment="1" applyProtection="1">
      <alignment horizontal="left"/>
    </xf>
    <xf numFmtId="0" fontId="9" fillId="0" borderId="0" xfId="0" applyFont="1" applyProtection="1"/>
    <xf numFmtId="1" fontId="12" fillId="0" borderId="0" xfId="0" applyNumberFormat="1" applyFont="1" applyAlignment="1" applyProtection="1">
      <alignment horizontal="center"/>
    </xf>
    <xf numFmtId="165" fontId="16" fillId="0" borderId="0" xfId="1" applyNumberFormat="1" applyFont="1" applyAlignment="1" applyProtection="1">
      <alignment horizontal="right" vertical="center"/>
    </xf>
    <xf numFmtId="167" fontId="17" fillId="0" borderId="0" xfId="1" applyNumberFormat="1" applyFont="1" applyAlignment="1" applyProtection="1">
      <alignment horizontal="center" vertical="center"/>
    </xf>
    <xf numFmtId="165" fontId="17" fillId="0" borderId="0" xfId="1" applyNumberFormat="1" applyFont="1" applyAlignment="1" applyProtection="1">
      <alignment horizontal="center" vertical="center"/>
    </xf>
    <xf numFmtId="3" fontId="12" fillId="0" borderId="0" xfId="0" applyNumberFormat="1" applyFont="1" applyProtection="1"/>
    <xf numFmtId="3" fontId="12" fillId="0" borderId="0" xfId="0" applyNumberFormat="1" applyFont="1" applyAlignment="1" applyProtection="1">
      <alignment horizontal="center"/>
    </xf>
    <xf numFmtId="3" fontId="12" fillId="0" borderId="0" xfId="0" applyNumberFormat="1" applyFont="1" applyAlignment="1" applyProtection="1">
      <alignment horizontal="right"/>
    </xf>
    <xf numFmtId="49" fontId="12" fillId="0" borderId="0" xfId="0" applyNumberFormat="1" applyFont="1" applyAlignment="1" applyProtection="1">
      <alignment horizontal="left"/>
    </xf>
    <xf numFmtId="1" fontId="12" fillId="0" borderId="0" xfId="0" applyNumberFormat="1" applyFont="1" applyAlignment="1" applyProtection="1">
      <alignment horizontal="left"/>
    </xf>
    <xf numFmtId="49" fontId="12" fillId="0" borderId="0" xfId="0" applyNumberFormat="1" applyFont="1" applyProtection="1"/>
    <xf numFmtId="0" fontId="12" fillId="0" borderId="0" xfId="0" applyFont="1" applyProtection="1"/>
    <xf numFmtId="3" fontId="12" fillId="0" borderId="26" xfId="0" applyNumberFormat="1" applyFont="1" applyBorder="1" applyAlignment="1" applyProtection="1">
      <alignment horizontal="right"/>
    </xf>
    <xf numFmtId="3" fontId="12" fillId="0" borderId="26" xfId="0" applyNumberFormat="1" applyFont="1" applyBorder="1" applyProtection="1"/>
    <xf numFmtId="3" fontId="12" fillId="0" borderId="0" xfId="0" applyNumberFormat="1" applyFont="1" applyBorder="1" applyAlignment="1" applyProtection="1">
      <alignment horizontal="right"/>
    </xf>
    <xf numFmtId="3" fontId="12" fillId="0" borderId="0" xfId="0" applyNumberFormat="1" applyFont="1" applyBorder="1" applyProtection="1"/>
    <xf numFmtId="0" fontId="9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wrapText="1"/>
    </xf>
    <xf numFmtId="0" fontId="3" fillId="0" borderId="28" xfId="0" applyFont="1" applyBorder="1" applyAlignment="1" applyProtection="1">
      <alignment horizontal="center" vertical="center"/>
      <protection locked="0"/>
    </xf>
    <xf numFmtId="3" fontId="13" fillId="0" borderId="0" xfId="0" applyNumberFormat="1" applyFont="1" applyBorder="1" applyAlignment="1" applyProtection="1">
      <alignment horizontal="right" indent="1"/>
      <protection locked="0"/>
    </xf>
    <xf numFmtId="49" fontId="12" fillId="0" borderId="0" xfId="0" applyNumberFormat="1" applyFont="1"/>
    <xf numFmtId="0" fontId="12" fillId="0" borderId="0" xfId="0" applyFont="1"/>
    <xf numFmtId="3" fontId="12" fillId="0" borderId="26" xfId="0" applyNumberFormat="1" applyFont="1" applyBorder="1" applyAlignment="1">
      <alignment horizontal="right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3" fontId="12" fillId="0" borderId="26" xfId="0" applyNumberFormat="1" applyFont="1" applyBorder="1"/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3" fontId="9" fillId="0" borderId="27" xfId="0" applyNumberFormat="1" applyFont="1" applyBorder="1"/>
    <xf numFmtId="3" fontId="9" fillId="0" borderId="0" xfId="0" applyNumberFormat="1" applyFont="1" applyAlignment="1" applyProtection="1"/>
    <xf numFmtId="3" fontId="12" fillId="0" borderId="0" xfId="0" applyNumberFormat="1" applyFont="1" applyAlignment="1" applyProtection="1"/>
    <xf numFmtId="3" fontId="12" fillId="0" borderId="0" xfId="0" applyNumberFormat="1" applyFont="1" applyBorder="1" applyAlignment="1" applyProtection="1">
      <alignment horizontal="right" indent="1"/>
      <protection locked="0"/>
    </xf>
    <xf numFmtId="0" fontId="12" fillId="2" borderId="0" xfId="0" applyFont="1" applyFill="1" applyAlignment="1" applyProtection="1">
      <alignment horizontal="center"/>
    </xf>
    <xf numFmtId="49" fontId="3" fillId="0" borderId="0" xfId="0" applyNumberFormat="1" applyFont="1" applyAlignment="1" applyProtection="1"/>
    <xf numFmtId="3" fontId="11" fillId="0" borderId="0" xfId="0" applyNumberFormat="1" applyFont="1" applyAlignment="1" applyProtection="1"/>
    <xf numFmtId="0" fontId="3" fillId="0" borderId="0" xfId="0" applyFont="1" applyBorder="1" applyAlignment="1">
      <alignment horizontal="right"/>
    </xf>
    <xf numFmtId="0" fontId="11" fillId="0" borderId="28" xfId="0" applyFont="1" applyBorder="1" applyProtection="1">
      <protection locked="0"/>
    </xf>
    <xf numFmtId="0" fontId="0" fillId="0" borderId="0" xfId="0" applyBorder="1" applyProtection="1">
      <protection locked="0"/>
    </xf>
    <xf numFmtId="0" fontId="3" fillId="0" borderId="28" xfId="0" applyFont="1" applyBorder="1" applyAlignment="1" applyProtection="1">
      <alignment horizontal="right"/>
      <protection locked="0"/>
    </xf>
    <xf numFmtId="3" fontId="12" fillId="0" borderId="0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Border="1" applyAlignment="1" applyProtection="1">
      <alignment horizontal="right" indent="1"/>
    </xf>
    <xf numFmtId="3" fontId="12" fillId="0" borderId="26" xfId="0" applyNumberFormat="1" applyFont="1" applyFill="1" applyBorder="1" applyAlignment="1" applyProtection="1">
      <alignment horizontal="right" indent="1"/>
    </xf>
    <xf numFmtId="3" fontId="0" fillId="0" borderId="26" xfId="0" applyNumberFormat="1" applyBorder="1" applyAlignment="1" applyProtection="1">
      <alignment horizontal="right" indent="1"/>
      <protection locked="0"/>
    </xf>
    <xf numFmtId="0" fontId="3" fillId="0" borderId="29" xfId="0" applyFont="1" applyBorder="1" applyAlignment="1" applyProtection="1">
      <alignment horizontal="left" vertical="center" indent="1"/>
      <protection locked="0"/>
    </xf>
    <xf numFmtId="0" fontId="3" fillId="0" borderId="30" xfId="0" applyFont="1" applyBorder="1" applyAlignment="1" applyProtection="1">
      <alignment horizontal="left" vertical="center" indent="1"/>
      <protection locked="0"/>
    </xf>
    <xf numFmtId="0" fontId="3" fillId="0" borderId="31" xfId="0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9" fillId="2" borderId="27" xfId="0" applyNumberFormat="1" applyFont="1" applyFill="1" applyBorder="1" applyAlignment="1" applyProtection="1">
      <alignment horizontal="right" indent="2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Texti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3DE1EB79-07A6-4530-B5AB-004B6BDE45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is-I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is-I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"/>
  <sheetViews>
    <sheetView showGridLines="0" showZeros="0" view="pageLayout" zoomScale="190" zoomScaleNormal="100" zoomScaleSheetLayoutView="113" zoomScalePageLayoutView="190" workbookViewId="0">
      <selection activeCell="B52" sqref="B52"/>
    </sheetView>
  </sheetViews>
  <sheetFormatPr defaultColWidth="9" defaultRowHeight="12.75" x14ac:dyDescent="0.2"/>
  <cols>
    <col min="1" max="1" width="3.140625" style="41" customWidth="1"/>
    <col min="2" max="2" width="9" style="41"/>
    <col min="3" max="3" width="5.85546875" style="41" customWidth="1"/>
    <col min="4" max="4" width="14.140625" style="41" customWidth="1"/>
    <col min="5" max="5" width="12" style="41" customWidth="1"/>
    <col min="6" max="6" width="9" style="41" customWidth="1"/>
    <col min="7" max="7" width="2.28515625" style="41" customWidth="1"/>
    <col min="8" max="8" width="9" style="41" customWidth="1"/>
    <col min="9" max="9" width="2.28515625" style="41" customWidth="1"/>
    <col min="10" max="10" width="9" style="41"/>
    <col min="11" max="11" width="3.28515625" style="41" customWidth="1"/>
    <col min="12" max="16384" width="9" style="41"/>
  </cols>
  <sheetData>
    <row r="2" spans="1:11" x14ac:dyDescent="0.2">
      <c r="A2" s="144" t="s">
        <v>115</v>
      </c>
      <c r="B2" s="143"/>
      <c r="C2" s="143"/>
      <c r="D2" s="143"/>
      <c r="E2" s="143"/>
      <c r="F2" s="143"/>
      <c r="G2" s="143"/>
      <c r="H2" s="143"/>
      <c r="I2" s="40"/>
      <c r="J2" s="40"/>
      <c r="K2" s="143"/>
    </row>
    <row r="3" spans="1:11" x14ac:dyDescent="0.2">
      <c r="A3" s="42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">
      <c r="A4" s="143"/>
      <c r="B4" s="37" t="s">
        <v>250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2">
      <c r="A5" s="143"/>
      <c r="B5" s="37" t="s">
        <v>116</v>
      </c>
      <c r="C5" s="143"/>
      <c r="D5" s="143"/>
      <c r="E5" s="143"/>
      <c r="F5" s="143"/>
      <c r="G5" s="143"/>
      <c r="H5" s="143"/>
      <c r="I5" s="143"/>
      <c r="J5" s="143"/>
      <c r="K5" s="143"/>
    </row>
    <row r="6" spans="1:11" x14ac:dyDescent="0.2">
      <c r="A6" s="143"/>
      <c r="B6" s="37"/>
      <c r="C6" s="143"/>
      <c r="D6" s="143"/>
      <c r="E6" s="143"/>
      <c r="F6" s="143"/>
      <c r="G6" s="143"/>
      <c r="H6" s="143"/>
      <c r="I6" s="143"/>
      <c r="J6" s="143"/>
      <c r="K6" s="143"/>
    </row>
    <row r="7" spans="1:11" x14ac:dyDescent="0.2">
      <c r="A7" s="143"/>
      <c r="B7" s="37" t="s">
        <v>249</v>
      </c>
      <c r="C7" s="143"/>
      <c r="D7" s="143"/>
      <c r="E7" s="143"/>
      <c r="F7" s="182" t="s">
        <v>247</v>
      </c>
      <c r="G7" s="185"/>
      <c r="H7" s="182" t="s">
        <v>248</v>
      </c>
      <c r="I7" s="183"/>
      <c r="J7" s="143"/>
      <c r="K7" s="143"/>
    </row>
    <row r="8" spans="1:11" x14ac:dyDescent="0.2">
      <c r="A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x14ac:dyDescent="0.2">
      <c r="A9" s="143"/>
      <c r="B9" s="37" t="s">
        <v>138</v>
      </c>
      <c r="C9" s="143"/>
      <c r="D9" s="143"/>
      <c r="E9" s="143"/>
      <c r="F9" s="143"/>
      <c r="G9" s="143"/>
      <c r="H9" s="143"/>
      <c r="I9" s="143"/>
      <c r="J9" s="143"/>
      <c r="K9" s="143"/>
    </row>
    <row r="10" spans="1:11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x14ac:dyDescent="0.2">
      <c r="A11" s="143"/>
      <c r="B11" s="37" t="s">
        <v>117</v>
      </c>
      <c r="C11" s="143"/>
      <c r="D11" s="189"/>
      <c r="E11" s="189"/>
      <c r="F11" s="189"/>
      <c r="G11" s="37" t="s">
        <v>118</v>
      </c>
      <c r="H11" s="143"/>
      <c r="I11" s="143"/>
      <c r="J11" s="143"/>
      <c r="K11" s="143"/>
    </row>
    <row r="12" spans="1:11" x14ac:dyDescent="0.2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1:11" x14ac:dyDescent="0.2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x14ac:dyDescent="0.2">
      <c r="A14" s="143"/>
      <c r="B14" s="144" t="s">
        <v>119</v>
      </c>
      <c r="C14" s="143"/>
      <c r="D14" s="143"/>
      <c r="E14" s="143"/>
      <c r="F14" s="143"/>
      <c r="G14" s="143"/>
      <c r="H14" s="143"/>
      <c r="I14" s="143"/>
      <c r="J14" s="143"/>
      <c r="K14" s="143"/>
    </row>
    <row r="15" spans="1:11" x14ac:dyDescent="0.2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11" ht="22.5" customHeight="1" x14ac:dyDescent="0.2">
      <c r="A16" s="143"/>
      <c r="B16" s="193" t="s">
        <v>120</v>
      </c>
      <c r="C16" s="194"/>
      <c r="D16" s="195"/>
      <c r="E16" s="190"/>
      <c r="F16" s="191"/>
      <c r="G16" s="191"/>
      <c r="H16" s="191"/>
      <c r="I16" s="191"/>
      <c r="J16" s="191"/>
      <c r="K16" s="192"/>
    </row>
    <row r="17" spans="1:11" ht="22.5" customHeight="1" x14ac:dyDescent="0.2">
      <c r="A17" s="143"/>
      <c r="B17" s="193" t="s">
        <v>121</v>
      </c>
      <c r="C17" s="194"/>
      <c r="D17" s="195"/>
      <c r="E17" s="190"/>
      <c r="F17" s="191"/>
      <c r="G17" s="191"/>
      <c r="H17" s="191"/>
      <c r="I17" s="191"/>
      <c r="J17" s="191"/>
      <c r="K17" s="192"/>
    </row>
    <row r="18" spans="1:11" ht="22.5" customHeight="1" x14ac:dyDescent="0.2">
      <c r="A18" s="143"/>
      <c r="B18" s="193" t="s">
        <v>122</v>
      </c>
      <c r="C18" s="194"/>
      <c r="D18" s="195"/>
      <c r="E18" s="190"/>
      <c r="F18" s="191"/>
      <c r="G18" s="191"/>
      <c r="H18" s="191"/>
      <c r="I18" s="191"/>
      <c r="J18" s="191"/>
      <c r="K18" s="192"/>
    </row>
    <row r="19" spans="1:11" ht="22.5" customHeight="1" x14ac:dyDescent="0.2">
      <c r="A19" s="143"/>
      <c r="B19" s="193" t="s">
        <v>123</v>
      </c>
      <c r="C19" s="194"/>
      <c r="D19" s="195"/>
      <c r="E19" s="190"/>
      <c r="F19" s="191"/>
      <c r="G19" s="191"/>
      <c r="H19" s="191"/>
      <c r="I19" s="191"/>
      <c r="J19" s="191"/>
      <c r="K19" s="192"/>
    </row>
    <row r="20" spans="1:11" ht="22.5" customHeight="1" x14ac:dyDescent="0.2">
      <c r="A20" s="143"/>
      <c r="B20" s="193" t="s">
        <v>124</v>
      </c>
      <c r="C20" s="194"/>
      <c r="D20" s="195"/>
      <c r="E20" s="190"/>
      <c r="F20" s="191"/>
      <c r="G20" s="191"/>
      <c r="H20" s="191"/>
      <c r="I20" s="191"/>
      <c r="J20" s="191"/>
      <c r="K20" s="192"/>
    </row>
    <row r="21" spans="1:11" ht="22.5" customHeight="1" x14ac:dyDescent="0.2">
      <c r="A21" s="143"/>
      <c r="B21" s="193" t="s">
        <v>125</v>
      </c>
      <c r="C21" s="194"/>
      <c r="D21" s="195"/>
      <c r="E21" s="190"/>
      <c r="F21" s="191"/>
      <c r="G21" s="191"/>
      <c r="H21" s="191"/>
      <c r="I21" s="191"/>
      <c r="J21" s="191"/>
      <c r="K21" s="192"/>
    </row>
    <row r="22" spans="1:11" ht="22.5" customHeight="1" x14ac:dyDescent="0.2">
      <c r="A22" s="143"/>
      <c r="B22" s="193" t="s">
        <v>126</v>
      </c>
      <c r="C22" s="194"/>
      <c r="D22" s="195"/>
      <c r="E22" s="190"/>
      <c r="F22" s="191"/>
      <c r="G22" s="191"/>
      <c r="H22" s="191"/>
      <c r="I22" s="191"/>
      <c r="J22" s="191"/>
      <c r="K22" s="192"/>
    </row>
    <row r="23" spans="1:11" ht="33.950000000000003" customHeight="1" x14ac:dyDescent="0.2">
      <c r="A23" s="143"/>
      <c r="B23" s="193" t="s">
        <v>127</v>
      </c>
      <c r="C23" s="194"/>
      <c r="D23" s="195"/>
      <c r="E23" s="196"/>
      <c r="F23" s="197"/>
      <c r="G23" s="197"/>
      <c r="H23" s="197"/>
      <c r="I23" s="197"/>
      <c r="J23" s="197"/>
      <c r="K23" s="198"/>
    </row>
    <row r="24" spans="1:11" x14ac:dyDescent="0.2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x14ac:dyDescent="0.2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x14ac:dyDescent="0.2">
      <c r="A26" s="143"/>
      <c r="B26" s="37" t="s">
        <v>128</v>
      </c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 x14ac:dyDescent="0.2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1" ht="17.100000000000001" customHeight="1" x14ac:dyDescent="0.2">
      <c r="A28" s="143"/>
      <c r="B28" s="37" t="s">
        <v>131</v>
      </c>
      <c r="C28" s="143"/>
      <c r="D28" s="143"/>
      <c r="E28" s="143"/>
      <c r="F28" s="143"/>
      <c r="G28" s="143"/>
      <c r="H28" s="143"/>
      <c r="I28" s="143"/>
      <c r="J28" s="143"/>
      <c r="K28" s="164"/>
    </row>
    <row r="29" spans="1:11" ht="2.85" customHeight="1" x14ac:dyDescent="0.2">
      <c r="A29" s="143"/>
      <c r="B29" s="37"/>
      <c r="C29" s="143"/>
      <c r="D29" s="143"/>
      <c r="E29" s="143"/>
      <c r="F29" s="143"/>
      <c r="G29" s="143"/>
      <c r="H29" s="143"/>
      <c r="I29" s="143"/>
      <c r="J29" s="143"/>
      <c r="K29" s="184"/>
    </row>
    <row r="30" spans="1:11" ht="17.100000000000001" customHeight="1" x14ac:dyDescent="0.2">
      <c r="A30" s="143"/>
      <c r="B30" s="37" t="s">
        <v>130</v>
      </c>
      <c r="C30" s="143"/>
      <c r="D30" s="143"/>
      <c r="E30" s="143"/>
      <c r="F30" s="143"/>
      <c r="G30" s="143"/>
      <c r="H30" s="143"/>
      <c r="I30" s="143"/>
      <c r="J30" s="143"/>
      <c r="K30" s="164"/>
    </row>
    <row r="31" spans="1:11" ht="2.85" customHeight="1" x14ac:dyDescent="0.2">
      <c r="A31" s="143"/>
      <c r="B31" s="37"/>
      <c r="C31" s="143"/>
      <c r="D31" s="143"/>
      <c r="E31" s="143"/>
      <c r="F31" s="143"/>
      <c r="G31" s="143"/>
      <c r="H31" s="143"/>
      <c r="I31" s="143"/>
      <c r="J31" s="143"/>
      <c r="K31" s="184"/>
    </row>
    <row r="32" spans="1:11" ht="17.100000000000001" customHeight="1" x14ac:dyDescent="0.2">
      <c r="A32" s="143"/>
      <c r="B32" s="37" t="s">
        <v>129</v>
      </c>
      <c r="C32" s="143"/>
      <c r="D32" s="143"/>
      <c r="E32" s="143"/>
      <c r="F32" s="143"/>
      <c r="G32" s="143"/>
      <c r="H32" s="143"/>
      <c r="I32" s="143"/>
      <c r="J32" s="143"/>
      <c r="K32" s="164"/>
    </row>
    <row r="33" spans="1:11" ht="2.85" customHeight="1" x14ac:dyDescent="0.2">
      <c r="A33" s="143"/>
      <c r="B33" s="37"/>
      <c r="C33" s="143"/>
      <c r="D33" s="143"/>
      <c r="E33" s="143"/>
      <c r="F33" s="143"/>
      <c r="G33" s="143"/>
      <c r="H33" s="143"/>
      <c r="I33" s="143"/>
      <c r="J33" s="143"/>
      <c r="K33" s="184"/>
    </row>
    <row r="34" spans="1:11" ht="17.100000000000001" customHeight="1" x14ac:dyDescent="0.2">
      <c r="A34" s="143"/>
      <c r="B34" s="37" t="s">
        <v>135</v>
      </c>
      <c r="C34" s="143"/>
      <c r="D34" s="143"/>
      <c r="E34" s="143"/>
      <c r="F34" s="143"/>
      <c r="G34" s="143"/>
      <c r="H34" s="143"/>
      <c r="I34" s="143"/>
      <c r="J34" s="143"/>
      <c r="K34" s="164"/>
    </row>
    <row r="35" spans="1:11" ht="2.85" customHeight="1" x14ac:dyDescent="0.2">
      <c r="A35" s="143"/>
      <c r="B35" s="37"/>
      <c r="C35" s="143"/>
      <c r="D35" s="143"/>
      <c r="E35" s="143"/>
      <c r="F35" s="143"/>
      <c r="G35" s="143"/>
      <c r="H35" s="143"/>
      <c r="I35" s="143"/>
      <c r="J35" s="143"/>
      <c r="K35" s="184"/>
    </row>
    <row r="36" spans="1:11" ht="17.100000000000001" customHeight="1" x14ac:dyDescent="0.2">
      <c r="A36" s="143"/>
      <c r="B36" s="37" t="s">
        <v>136</v>
      </c>
      <c r="C36" s="143"/>
      <c r="D36" s="143"/>
      <c r="E36" s="143"/>
      <c r="F36" s="143"/>
      <c r="G36" s="143"/>
      <c r="H36" s="143"/>
      <c r="I36" s="143"/>
      <c r="J36" s="143"/>
      <c r="K36" s="164"/>
    </row>
    <row r="37" spans="1:11" ht="2.85" customHeight="1" x14ac:dyDescent="0.2">
      <c r="A37" s="143"/>
      <c r="B37" s="37"/>
      <c r="C37" s="143"/>
      <c r="D37" s="143"/>
      <c r="E37" s="143"/>
      <c r="F37" s="143"/>
      <c r="G37" s="143"/>
      <c r="H37" s="143"/>
      <c r="I37" s="143"/>
      <c r="J37" s="143"/>
      <c r="K37" s="184"/>
    </row>
    <row r="38" spans="1:11" ht="17.100000000000001" customHeight="1" x14ac:dyDescent="0.2">
      <c r="A38" s="143"/>
      <c r="B38" s="37" t="s">
        <v>137</v>
      </c>
      <c r="C38" s="143"/>
      <c r="D38" s="143"/>
      <c r="E38" s="143"/>
      <c r="F38" s="143"/>
      <c r="G38" s="143"/>
      <c r="H38" s="143"/>
      <c r="I38" s="143"/>
      <c r="J38" s="143"/>
      <c r="K38" s="164"/>
    </row>
    <row r="39" spans="1:11" ht="2.85" customHeight="1" x14ac:dyDescent="0.2">
      <c r="A39" s="143"/>
      <c r="B39" s="37"/>
      <c r="C39" s="143"/>
      <c r="D39" s="143"/>
      <c r="E39" s="143"/>
      <c r="F39" s="143"/>
      <c r="G39" s="143"/>
      <c r="H39" s="143"/>
      <c r="I39" s="143"/>
      <c r="J39" s="143"/>
      <c r="K39" s="184"/>
    </row>
    <row r="40" spans="1:11" ht="17.100000000000001" customHeight="1" x14ac:dyDescent="0.2">
      <c r="A40" s="143"/>
      <c r="B40" s="37" t="s">
        <v>132</v>
      </c>
      <c r="C40" s="143"/>
      <c r="D40" s="143"/>
      <c r="E40" s="143"/>
      <c r="F40" s="143"/>
      <c r="G40" s="143"/>
      <c r="H40" s="143"/>
      <c r="I40" s="143"/>
      <c r="J40" s="143"/>
      <c r="K40" s="164"/>
    </row>
    <row r="41" spans="1:11" ht="2.85" customHeight="1" x14ac:dyDescent="0.2">
      <c r="A41" s="143"/>
      <c r="B41" s="37"/>
      <c r="C41" s="143"/>
      <c r="D41" s="143"/>
      <c r="E41" s="143"/>
      <c r="F41" s="143"/>
      <c r="G41" s="143"/>
      <c r="H41" s="143"/>
      <c r="I41" s="143"/>
      <c r="J41" s="143"/>
      <c r="K41" s="184"/>
    </row>
    <row r="42" spans="1:11" ht="17.100000000000001" customHeight="1" x14ac:dyDescent="0.2">
      <c r="A42" s="143"/>
      <c r="B42" s="37" t="s">
        <v>133</v>
      </c>
      <c r="C42" s="143"/>
      <c r="D42" s="143"/>
      <c r="E42" s="143"/>
      <c r="F42" s="143"/>
      <c r="G42" s="143"/>
      <c r="H42" s="143"/>
      <c r="I42" s="143"/>
      <c r="J42" s="143"/>
      <c r="K42" s="164"/>
    </row>
    <row r="43" spans="1:11" ht="2.85" customHeight="1" x14ac:dyDescent="0.2">
      <c r="A43" s="143"/>
      <c r="B43" s="37"/>
      <c r="C43" s="143"/>
      <c r="D43" s="143"/>
      <c r="E43" s="143"/>
      <c r="F43" s="143"/>
      <c r="G43" s="143"/>
      <c r="H43" s="143"/>
      <c r="I43" s="143"/>
      <c r="J43" s="143"/>
      <c r="K43" s="184"/>
    </row>
    <row r="44" spans="1:11" ht="17.100000000000001" customHeight="1" x14ac:dyDescent="0.2">
      <c r="A44" s="143"/>
      <c r="B44" s="37" t="s">
        <v>134</v>
      </c>
      <c r="C44" s="143"/>
      <c r="D44" s="143"/>
      <c r="E44" s="143"/>
      <c r="F44" s="143"/>
      <c r="G44" s="143"/>
      <c r="H44" s="143"/>
      <c r="I44" s="143"/>
      <c r="J44" s="143"/>
      <c r="K44" s="164"/>
    </row>
    <row r="45" spans="1:11" x14ac:dyDescent="0.2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</row>
    <row r="46" spans="1:11" x14ac:dyDescent="0.2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</row>
    <row r="47" spans="1:11" x14ac:dyDescent="0.2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</row>
    <row r="48" spans="1:11" x14ac:dyDescent="0.2">
      <c r="B48" s="140" t="s">
        <v>140</v>
      </c>
    </row>
  </sheetData>
  <sheetProtection algorithmName="SHA-512" hashValue="Ba5NV/dUxmqQaAVn4A6quyjCadUXCngJ3067Xu/i0NFJJD4+z/uvqfuXe7NFKACB98z7aSYzVpPbUZd3wCq32A==" saltValue="zZ0i49c3Q7P7DD3K4dQ9jA==" spinCount="100000" sheet="1" objects="1" scenarios="1"/>
  <mergeCells count="17">
    <mergeCell ref="E22:K22"/>
    <mergeCell ref="E20:K20"/>
    <mergeCell ref="E23:K23"/>
    <mergeCell ref="B22:D22"/>
    <mergeCell ref="B23:D23"/>
    <mergeCell ref="B20:D20"/>
    <mergeCell ref="B21:D21"/>
    <mergeCell ref="E21:K21"/>
    <mergeCell ref="D11:F11"/>
    <mergeCell ref="E16:K16"/>
    <mergeCell ref="E17:K17"/>
    <mergeCell ref="E18:K18"/>
    <mergeCell ref="E19:K19"/>
    <mergeCell ref="B16:D16"/>
    <mergeCell ref="B17:D17"/>
    <mergeCell ref="B18:D18"/>
    <mergeCell ref="B19:D19"/>
  </mergeCells>
  <printOptions horizontalCentered="1" verticalCentered="1"/>
  <pageMargins left="0.43307086614173229" right="0.55118110236220474" top="0.9055118110236221" bottom="0.86614173228346458" header="0.51181102362204722" footer="0.51181102362204722"/>
  <pageSetup paperSize="9" fitToHeight="0" orientation="portrait" useFirstPageNumber="1" r:id="rId1"/>
  <headerFooter alignWithMargins="0">
    <oddHeader>&amp;L&amp;"Arial,Bold"GARÐABÆR - SVEINSKOT
GATNAGERÐ OG VEITUR&amp;R&amp;"Arial,Bold"TILBOÐSBLAÐ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9:J41"/>
  <sheetViews>
    <sheetView showGridLines="0" showZeros="0" view="pageLayout" zoomScale="160" zoomScaleNormal="100" zoomScaleSheetLayoutView="113" zoomScalePageLayoutView="160" workbookViewId="0">
      <selection activeCell="B58" sqref="B58"/>
    </sheetView>
  </sheetViews>
  <sheetFormatPr defaultRowHeight="12.75" x14ac:dyDescent="0.2"/>
  <cols>
    <col min="1" max="1" width="7.5703125" style="41" customWidth="1"/>
    <col min="2" max="3" width="9.140625" style="41"/>
    <col min="4" max="4" width="14.140625" style="41" customWidth="1"/>
    <col min="5" max="5" width="8.7109375" style="41" customWidth="1"/>
    <col min="6" max="6" width="6.7109375" style="41" customWidth="1"/>
    <col min="7" max="7" width="8.42578125" style="41" customWidth="1"/>
    <col min="8" max="8" width="16.42578125" style="41" bestFit="1" customWidth="1"/>
    <col min="9" max="9" width="9.140625" style="41"/>
    <col min="10" max="10" width="17.28515625" style="41" bestFit="1" customWidth="1"/>
    <col min="11" max="16384" width="9.140625" style="41"/>
  </cols>
  <sheetData>
    <row r="9" spans="1:8" x14ac:dyDescent="0.2">
      <c r="A9" s="42" t="s">
        <v>139</v>
      </c>
      <c r="B9" s="37"/>
      <c r="C9" s="37"/>
      <c r="D9" s="38"/>
      <c r="E9" s="39"/>
      <c r="F9" s="40"/>
      <c r="G9" s="40"/>
      <c r="H9" s="57"/>
    </row>
    <row r="10" spans="1:8" x14ac:dyDescent="0.2">
      <c r="A10" s="66"/>
      <c r="B10" s="66"/>
      <c r="C10" s="66"/>
      <c r="D10" s="67"/>
      <c r="E10" s="68"/>
      <c r="F10" s="66"/>
      <c r="G10" s="66"/>
      <c r="H10" s="69"/>
    </row>
    <row r="11" spans="1:8" x14ac:dyDescent="0.2">
      <c r="A11" s="43"/>
    </row>
    <row r="12" spans="1:8" x14ac:dyDescent="0.2">
      <c r="A12" s="44" t="s">
        <v>33</v>
      </c>
      <c r="B12" s="45" t="s">
        <v>19</v>
      </c>
      <c r="C12" s="45"/>
      <c r="D12" s="45"/>
      <c r="E12" s="45"/>
      <c r="F12" s="45"/>
      <c r="G12" s="46" t="s">
        <v>15</v>
      </c>
      <c r="H12" s="54">
        <f>TILBOÐSSKRÁ!J9</f>
        <v>0</v>
      </c>
    </row>
    <row r="13" spans="1:8" ht="9.9499999999999993" customHeight="1" x14ac:dyDescent="0.2">
      <c r="A13" s="47"/>
      <c r="B13" s="40"/>
      <c r="C13" s="40"/>
      <c r="D13" s="40"/>
      <c r="E13" s="40"/>
      <c r="F13" s="40"/>
      <c r="G13" s="48"/>
      <c r="H13" s="55"/>
    </row>
    <row r="14" spans="1:8" x14ac:dyDescent="0.2">
      <c r="A14" s="44" t="s">
        <v>52</v>
      </c>
      <c r="B14" s="65" t="s">
        <v>54</v>
      </c>
      <c r="C14" s="45"/>
      <c r="D14" s="45"/>
      <c r="E14" s="45"/>
      <c r="F14" s="45"/>
      <c r="G14" s="46" t="s">
        <v>15</v>
      </c>
      <c r="H14" s="54">
        <f>TILBOÐSSKRÁ!J13</f>
        <v>0</v>
      </c>
    </row>
    <row r="15" spans="1:8" ht="9.9499999999999993" customHeight="1" x14ac:dyDescent="0.2">
      <c r="A15" s="47"/>
      <c r="B15" s="40"/>
      <c r="C15" s="40"/>
      <c r="D15" s="40"/>
      <c r="E15" s="40"/>
      <c r="F15" s="40"/>
      <c r="G15" s="48"/>
      <c r="H15" s="55"/>
    </row>
    <row r="16" spans="1:8" x14ac:dyDescent="0.2">
      <c r="A16" s="44" t="s">
        <v>34</v>
      </c>
      <c r="B16" s="45" t="s">
        <v>8</v>
      </c>
      <c r="C16" s="45"/>
      <c r="D16" s="45"/>
      <c r="E16" s="45"/>
      <c r="F16" s="45"/>
      <c r="G16" s="46" t="s">
        <v>15</v>
      </c>
      <c r="H16" s="54">
        <f>TILBOÐSSKRÁ!J52</f>
        <v>0</v>
      </c>
    </row>
    <row r="17" spans="1:10" ht="9.9499999999999993" customHeight="1" x14ac:dyDescent="0.2">
      <c r="A17" s="47"/>
      <c r="B17" s="40"/>
      <c r="C17" s="40"/>
      <c r="D17" s="40"/>
      <c r="E17" s="40"/>
      <c r="F17" s="40"/>
      <c r="G17" s="48"/>
      <c r="H17" s="55"/>
    </row>
    <row r="18" spans="1:10" x14ac:dyDescent="0.2">
      <c r="A18" s="44" t="s">
        <v>36</v>
      </c>
      <c r="B18" s="45" t="s">
        <v>10</v>
      </c>
      <c r="C18" s="45"/>
      <c r="D18" s="45"/>
      <c r="E18" s="45"/>
      <c r="F18" s="45"/>
      <c r="G18" s="46" t="s">
        <v>15</v>
      </c>
      <c r="H18" s="54">
        <f>TILBOÐSSKRÁ!J80</f>
        <v>0</v>
      </c>
    </row>
    <row r="19" spans="1:10" ht="9.9499999999999993" customHeight="1" x14ac:dyDescent="0.2">
      <c r="A19" s="47"/>
      <c r="B19" s="40"/>
      <c r="C19" s="40"/>
      <c r="D19" s="40"/>
      <c r="E19" s="40"/>
      <c r="F19" s="40"/>
      <c r="G19" s="48"/>
      <c r="H19" s="55"/>
    </row>
    <row r="20" spans="1:10" x14ac:dyDescent="0.2">
      <c r="A20" s="44" t="s">
        <v>42</v>
      </c>
      <c r="B20" s="65" t="s">
        <v>53</v>
      </c>
      <c r="C20" s="45"/>
      <c r="D20" s="45"/>
      <c r="E20" s="45"/>
      <c r="F20" s="45"/>
      <c r="G20" s="46" t="s">
        <v>15</v>
      </c>
      <c r="H20" s="54">
        <f>TILBOÐSSKRÁ!J86</f>
        <v>0</v>
      </c>
    </row>
    <row r="21" spans="1:10" ht="9.9499999999999993" customHeight="1" x14ac:dyDescent="0.2">
      <c r="A21" s="47"/>
      <c r="B21" s="40"/>
      <c r="C21" s="40"/>
      <c r="D21" s="40"/>
      <c r="E21" s="40"/>
      <c r="F21" s="40"/>
      <c r="G21" s="48"/>
      <c r="H21" s="55"/>
    </row>
    <row r="22" spans="1:10" x14ac:dyDescent="0.2">
      <c r="A22" s="44" t="s">
        <v>146</v>
      </c>
      <c r="B22" s="65" t="s">
        <v>147</v>
      </c>
      <c r="C22" s="45"/>
      <c r="D22" s="45"/>
      <c r="E22" s="45"/>
      <c r="F22" s="45"/>
      <c r="G22" s="46" t="s">
        <v>15</v>
      </c>
      <c r="H22" s="54">
        <f>TILBOÐSSKRÁ!J90</f>
        <v>0</v>
      </c>
    </row>
    <row r="23" spans="1:10" ht="9.9499999999999993" customHeight="1" x14ac:dyDescent="0.2">
      <c r="A23" s="47"/>
      <c r="B23" s="40"/>
      <c r="C23" s="40"/>
      <c r="D23" s="40"/>
      <c r="E23" s="40"/>
      <c r="F23" s="40"/>
      <c r="G23" s="48"/>
      <c r="H23" s="55"/>
    </row>
    <row r="24" spans="1:10" x14ac:dyDescent="0.2">
      <c r="A24" s="44" t="s">
        <v>154</v>
      </c>
      <c r="B24" s="65" t="s">
        <v>155</v>
      </c>
      <c r="C24" s="45"/>
      <c r="D24" s="45"/>
      <c r="E24" s="45"/>
      <c r="F24" s="45"/>
      <c r="G24" s="46" t="s">
        <v>15</v>
      </c>
      <c r="H24" s="54">
        <f>TILBOÐSSKRÁ!J111</f>
        <v>0</v>
      </c>
    </row>
    <row r="25" spans="1:10" ht="9.9499999999999993" customHeight="1" x14ac:dyDescent="0.2">
      <c r="A25" s="47"/>
      <c r="B25" s="40"/>
      <c r="C25" s="40"/>
      <c r="D25" s="40"/>
      <c r="E25" s="40"/>
      <c r="F25" s="40"/>
      <c r="G25" s="48"/>
      <c r="H25" s="55"/>
    </row>
    <row r="26" spans="1:10" x14ac:dyDescent="0.2">
      <c r="A26" s="44" t="s">
        <v>57</v>
      </c>
      <c r="B26" s="65" t="s">
        <v>73</v>
      </c>
      <c r="C26" s="45"/>
      <c r="D26" s="45"/>
      <c r="E26" s="45"/>
      <c r="F26" s="45"/>
      <c r="G26" s="138" t="s">
        <v>15</v>
      </c>
      <c r="H26" s="54">
        <f>TILBOÐSSKRÁ!J193</f>
        <v>0</v>
      </c>
    </row>
    <row r="27" spans="1:10" ht="9.9499999999999993" customHeight="1" x14ac:dyDescent="0.2">
      <c r="A27" s="47"/>
      <c r="B27" s="40"/>
      <c r="C27" s="40"/>
      <c r="D27" s="40"/>
      <c r="E27" s="40"/>
      <c r="F27" s="40"/>
      <c r="G27" s="48"/>
      <c r="H27" s="55"/>
    </row>
    <row r="28" spans="1:10" x14ac:dyDescent="0.2">
      <c r="A28" s="47"/>
      <c r="B28" s="40"/>
      <c r="C28" s="40"/>
      <c r="D28" s="40"/>
      <c r="E28" s="40"/>
      <c r="F28" s="40"/>
      <c r="G28" s="48"/>
      <c r="H28" s="55"/>
    </row>
    <row r="29" spans="1:10" ht="13.5" thickBot="1" x14ac:dyDescent="0.25">
      <c r="A29" s="49"/>
      <c r="F29" s="36" t="s">
        <v>78</v>
      </c>
      <c r="G29" s="36"/>
      <c r="H29" s="56">
        <f>SUM(H12:H26)</f>
        <v>0</v>
      </c>
      <c r="J29" s="53"/>
    </row>
    <row r="30" spans="1:10" ht="13.5" thickTop="1" x14ac:dyDescent="0.2">
      <c r="A30" s="49"/>
      <c r="H30" s="50"/>
    </row>
    <row r="31" spans="1:10" x14ac:dyDescent="0.2">
      <c r="A31" s="52"/>
      <c r="H31" s="50"/>
      <c r="J31" s="59"/>
    </row>
    <row r="32" spans="1:10" x14ac:dyDescent="0.2">
      <c r="B32" s="140"/>
      <c r="H32" s="141"/>
      <c r="J32" s="59"/>
    </row>
    <row r="33" spans="1:10" x14ac:dyDescent="0.2">
      <c r="A33" s="42"/>
      <c r="B33" s="63"/>
      <c r="C33" s="63"/>
      <c r="D33" s="63"/>
      <c r="E33" s="58"/>
      <c r="F33" s="40"/>
      <c r="G33" s="61"/>
      <c r="H33"/>
      <c r="J33" s="60"/>
    </row>
    <row r="34" spans="1:10" x14ac:dyDescent="0.2">
      <c r="A34" s="64"/>
      <c r="B34" s="40"/>
      <c r="C34" s="40"/>
      <c r="D34" s="40"/>
      <c r="E34" s="40"/>
      <c r="F34" s="40"/>
      <c r="G34" s="61"/>
      <c r="H34" s="61"/>
      <c r="J34" s="61"/>
    </row>
    <row r="35" spans="1:10" x14ac:dyDescent="0.2">
      <c r="A35" s="40"/>
      <c r="B35" s="40"/>
      <c r="C35" s="40"/>
      <c r="D35" s="40"/>
      <c r="E35" s="40"/>
      <c r="F35"/>
      <c r="G35"/>
      <c r="H35"/>
      <c r="J35" s="62"/>
    </row>
    <row r="36" spans="1:10" x14ac:dyDescent="0.2">
      <c r="A36" s="40"/>
      <c r="B36" s="40"/>
      <c r="C36" s="40"/>
      <c r="D36" s="40"/>
      <c r="E36" s="40"/>
      <c r="F36" s="40"/>
      <c r="G36" s="48"/>
      <c r="H36" s="51"/>
      <c r="J36" s="51"/>
    </row>
    <row r="37" spans="1:10" x14ac:dyDescent="0.2">
      <c r="A37" s="40"/>
      <c r="B37" s="40"/>
      <c r="C37" s="40"/>
      <c r="D37" s="40"/>
      <c r="E37" s="40"/>
      <c r="F37" s="40"/>
      <c r="G37" s="40"/>
      <c r="H37" s="55"/>
      <c r="J37" s="55"/>
    </row>
    <row r="38" spans="1:10" x14ac:dyDescent="0.2">
      <c r="A38" s="40"/>
      <c r="B38" s="40"/>
      <c r="C38" s="40"/>
      <c r="D38" s="40"/>
      <c r="E38" s="40"/>
      <c r="F38" s="40"/>
      <c r="G38" s="40"/>
      <c r="H38" s="40"/>
      <c r="J38" s="40"/>
    </row>
    <row r="39" spans="1:10" x14ac:dyDescent="0.2">
      <c r="A39" s="42"/>
      <c r="B39" s="63"/>
      <c r="C39" s="63"/>
      <c r="D39" s="63"/>
      <c r="E39" s="40"/>
      <c r="F39" s="40"/>
      <c r="G39" s="61"/>
      <c r="H39" s="60"/>
      <c r="J39" s="60"/>
    </row>
    <row r="40" spans="1:10" x14ac:dyDescent="0.2">
      <c r="A40" s="40"/>
      <c r="B40" s="40"/>
      <c r="C40" s="40"/>
      <c r="D40" s="40"/>
      <c r="E40" s="40"/>
      <c r="F40" s="40"/>
      <c r="G40" s="40"/>
      <c r="H40" s="40"/>
      <c r="J40" s="40"/>
    </row>
    <row r="41" spans="1:10" x14ac:dyDescent="0.2">
      <c r="A41" s="40"/>
      <c r="B41" s="40"/>
      <c r="C41" s="40"/>
      <c r="D41" s="40"/>
      <c r="E41" s="40"/>
      <c r="F41" s="40"/>
      <c r="G41" s="40"/>
      <c r="H41" s="40"/>
    </row>
  </sheetData>
  <sheetProtection algorithmName="SHA-512" hashValue="puz8iqphxoLPJ0lVNmefCj1r6KtfeavnwCw/wUdedgdbhlC7YL8W5sFOMzxnM9bvRjpJP0ReurHMhZi7Ocrb4A==" saltValue="HaK4fMkUvLD/aL2Vwad0TQ==" spinCount="100000" sheet="1" objects="1" scenarios="1"/>
  <phoneticPr fontId="0" type="noConversion"/>
  <printOptions horizontalCentered="1" verticalCentered="1"/>
  <pageMargins left="0.43307086614173229" right="0.55118110236220474" top="0.9055118110236221" bottom="0.86614173228346458" header="0.51181102362204722" footer="0.51181102362204722"/>
  <pageSetup paperSize="9" firstPageNumber="103" fitToHeight="0" orientation="portrait" useFirstPageNumber="1" r:id="rId1"/>
  <headerFooter alignWithMargins="0">
    <oddHeader>&amp;L&amp;"Arial,Bold"GARÐABÆR - SVEINSKOT
GATNAGERÐ OG VEITUR&amp;R&amp;"Arial,Bold"SAFNBLAÐ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316"/>
  <sheetViews>
    <sheetView showGridLines="0" showZeros="0" tabSelected="1" zoomScale="160" zoomScaleNormal="160" zoomScaleSheetLayoutView="100" workbookViewId="0">
      <selection activeCell="H6" sqref="H6"/>
    </sheetView>
  </sheetViews>
  <sheetFormatPr defaultRowHeight="12.75" x14ac:dyDescent="0.2"/>
  <cols>
    <col min="1" max="1" width="7.7109375" style="119" bestFit="1" customWidth="1"/>
    <col min="2" max="2" width="2.7109375" style="87" customWidth="1"/>
    <col min="3" max="3" width="33.140625" style="87" customWidth="1"/>
    <col min="4" max="4" width="9.5703125" style="134" bestFit="1" customWidth="1"/>
    <col min="5" max="5" width="1.28515625" style="108" customWidth="1"/>
    <col min="6" max="6" width="9" style="109" bestFit="1" customWidth="1"/>
    <col min="7" max="7" width="1.28515625" style="108" customWidth="1"/>
    <col min="8" max="8" width="11.5703125" style="85" customWidth="1"/>
    <col min="9" max="9" width="1.28515625" style="83" customWidth="1"/>
    <col min="10" max="10" width="13.42578125" style="82" bestFit="1" customWidth="1"/>
    <col min="11" max="11" width="3" style="135" customWidth="1"/>
    <col min="12" max="16384" width="9.140625" style="73"/>
  </cols>
  <sheetData>
    <row r="1" spans="1:14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4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4" s="79" customFormat="1" ht="19.5" customHeight="1" x14ac:dyDescent="0.2">
      <c r="A3" s="74" t="s">
        <v>0</v>
      </c>
      <c r="B3" s="75" t="s">
        <v>1</v>
      </c>
      <c r="C3" s="75"/>
      <c r="D3" s="76" t="s">
        <v>2</v>
      </c>
      <c r="E3" s="77"/>
      <c r="F3" s="78" t="s">
        <v>3</v>
      </c>
      <c r="G3" s="77"/>
      <c r="H3" s="77" t="s">
        <v>4</v>
      </c>
      <c r="I3" s="77"/>
      <c r="J3" s="77" t="s">
        <v>5</v>
      </c>
      <c r="K3" s="76"/>
    </row>
    <row r="4" spans="1:14" s="87" customFormat="1" ht="19.5" customHeight="1" x14ac:dyDescent="0.2">
      <c r="A4" s="80"/>
      <c r="B4" s="81"/>
      <c r="C4" s="81"/>
      <c r="D4" s="82"/>
      <c r="E4" s="83"/>
      <c r="F4" s="84"/>
      <c r="G4" s="83"/>
      <c r="H4" s="85"/>
      <c r="I4" s="85"/>
      <c r="J4" s="85"/>
      <c r="K4" s="86"/>
    </row>
    <row r="5" spans="1:14" s="79" customFormat="1" ht="19.5" customHeight="1" x14ac:dyDescent="0.2">
      <c r="A5" s="88" t="s">
        <v>33</v>
      </c>
      <c r="B5" s="89" t="s">
        <v>19</v>
      </c>
      <c r="C5" s="89"/>
      <c r="D5" s="86"/>
      <c r="E5" s="90"/>
      <c r="F5" s="91"/>
      <c r="G5" s="90"/>
      <c r="H5" s="92"/>
      <c r="I5" s="92"/>
      <c r="J5" s="92"/>
      <c r="K5" s="86"/>
    </row>
    <row r="6" spans="1:14" s="79" customFormat="1" ht="19.5" customHeight="1" x14ac:dyDescent="0.2">
      <c r="A6" s="80"/>
      <c r="B6" s="81" t="s">
        <v>6</v>
      </c>
      <c r="C6" s="81"/>
      <c r="D6" s="70">
        <v>1</v>
      </c>
      <c r="E6" s="83"/>
      <c r="F6" s="84" t="s">
        <v>7</v>
      </c>
      <c r="G6" s="83"/>
      <c r="H6" s="72"/>
      <c r="I6" s="85"/>
      <c r="J6" s="70">
        <f>H6*D6</f>
        <v>0</v>
      </c>
      <c r="K6" s="93"/>
      <c r="M6" s="142"/>
      <c r="N6" s="142"/>
    </row>
    <row r="7" spans="1:14" s="79" customFormat="1" ht="19.5" customHeight="1" x14ac:dyDescent="0.2">
      <c r="A7" s="80"/>
      <c r="B7" s="81" t="s">
        <v>142</v>
      </c>
      <c r="C7" s="81"/>
      <c r="D7" s="70">
        <v>1</v>
      </c>
      <c r="E7" s="83"/>
      <c r="F7" s="84" t="s">
        <v>7</v>
      </c>
      <c r="G7" s="83"/>
      <c r="H7" s="72"/>
      <c r="I7" s="85"/>
      <c r="J7" s="70">
        <f>H7*D7</f>
        <v>0</v>
      </c>
      <c r="K7" s="93"/>
      <c r="M7" s="142"/>
      <c r="N7" s="142"/>
    </row>
    <row r="8" spans="1:14" s="79" customFormat="1" ht="10.5" customHeight="1" x14ac:dyDescent="0.2">
      <c r="A8" s="80"/>
      <c r="B8" s="81"/>
      <c r="C8" s="81"/>
      <c r="D8" s="94"/>
      <c r="E8" s="83"/>
      <c r="F8" s="84"/>
      <c r="G8" s="83"/>
      <c r="H8" s="94"/>
      <c r="I8" s="85"/>
      <c r="J8" s="94"/>
      <c r="K8" s="93"/>
      <c r="N8" s="142"/>
    </row>
    <row r="9" spans="1:14" s="79" customFormat="1" ht="19.5" customHeight="1" thickBot="1" x14ac:dyDescent="0.25">
      <c r="A9" s="80"/>
      <c r="B9" s="81"/>
      <c r="C9" s="81"/>
      <c r="D9" s="94"/>
      <c r="E9" s="83"/>
      <c r="F9" s="95"/>
      <c r="G9" s="96"/>
      <c r="H9" s="97" t="s">
        <v>44</v>
      </c>
      <c r="I9" s="98"/>
      <c r="J9" s="199">
        <f>SUM(J6:J8)</f>
        <v>0</v>
      </c>
      <c r="K9" s="199"/>
      <c r="N9" s="142"/>
    </row>
    <row r="10" spans="1:14" s="79" customFormat="1" ht="19.5" customHeight="1" x14ac:dyDescent="0.2">
      <c r="A10" s="80"/>
      <c r="B10" s="81"/>
      <c r="C10" s="81"/>
      <c r="D10" s="94"/>
      <c r="E10" s="83"/>
      <c r="F10" s="99"/>
      <c r="G10" s="99"/>
      <c r="H10" s="99"/>
      <c r="I10" s="99"/>
      <c r="J10" s="99"/>
      <c r="K10" s="99"/>
      <c r="N10" s="142"/>
    </row>
    <row r="11" spans="1:14" s="79" customFormat="1" ht="19.5" customHeight="1" x14ac:dyDescent="0.2">
      <c r="A11" s="88" t="s">
        <v>52</v>
      </c>
      <c r="B11" s="89" t="s">
        <v>54</v>
      </c>
      <c r="C11" s="81"/>
      <c r="D11" s="71">
        <v>1</v>
      </c>
      <c r="E11" s="101"/>
      <c r="F11" s="102" t="s">
        <v>7</v>
      </c>
      <c r="G11" s="101"/>
      <c r="H11" s="72"/>
      <c r="I11" s="103"/>
      <c r="J11" s="71">
        <f>H11*D11</f>
        <v>0</v>
      </c>
      <c r="K11" s="93"/>
      <c r="M11" s="142"/>
      <c r="N11" s="142"/>
    </row>
    <row r="12" spans="1:14" s="79" customFormat="1" ht="10.5" customHeight="1" x14ac:dyDescent="0.2">
      <c r="A12" s="80"/>
      <c r="B12" s="81"/>
      <c r="C12" s="81"/>
      <c r="D12" s="94"/>
      <c r="E12" s="83"/>
      <c r="F12" s="84"/>
      <c r="G12" s="83"/>
      <c r="H12" s="94"/>
      <c r="I12" s="85"/>
      <c r="J12" s="94"/>
      <c r="K12" s="93"/>
      <c r="N12" s="142"/>
    </row>
    <row r="13" spans="1:14" s="79" customFormat="1" ht="19.5" customHeight="1" thickBot="1" x14ac:dyDescent="0.25">
      <c r="A13" s="88"/>
      <c r="B13" s="89"/>
      <c r="C13" s="81"/>
      <c r="D13" s="94"/>
      <c r="E13" s="83"/>
      <c r="F13" s="104"/>
      <c r="G13" s="105"/>
      <c r="H13" s="97" t="s">
        <v>55</v>
      </c>
      <c r="I13" s="106"/>
      <c r="J13" s="199">
        <f>J11</f>
        <v>0</v>
      </c>
      <c r="K13" s="199"/>
      <c r="N13" s="142"/>
    </row>
    <row r="14" spans="1:14" s="79" customFormat="1" ht="19.5" customHeight="1" x14ac:dyDescent="0.2">
      <c r="A14" s="88" t="s">
        <v>34</v>
      </c>
      <c r="B14" s="89" t="s">
        <v>8</v>
      </c>
      <c r="C14" s="81"/>
      <c r="D14" s="114"/>
      <c r="E14" s="83"/>
      <c r="F14" s="109"/>
      <c r="G14" s="83"/>
      <c r="H14" s="94"/>
      <c r="I14" s="85"/>
      <c r="J14" s="94"/>
      <c r="K14" s="93"/>
      <c r="N14" s="142"/>
    </row>
    <row r="15" spans="1:14" s="79" customFormat="1" ht="19.5" customHeight="1" x14ac:dyDescent="0.2">
      <c r="A15" s="88" t="s">
        <v>101</v>
      </c>
      <c r="B15" s="89" t="s">
        <v>215</v>
      </c>
      <c r="C15" s="81"/>
      <c r="D15" s="114"/>
      <c r="E15" s="83"/>
      <c r="F15" s="109"/>
      <c r="G15" s="83"/>
      <c r="H15" s="94"/>
      <c r="I15" s="85"/>
      <c r="J15" s="94"/>
      <c r="K15" s="93"/>
      <c r="N15" s="142"/>
    </row>
    <row r="16" spans="1:14" s="79" customFormat="1" ht="19.5" customHeight="1" x14ac:dyDescent="0.2">
      <c r="A16" s="88" t="s">
        <v>98</v>
      </c>
      <c r="B16" s="81" t="s">
        <v>216</v>
      </c>
      <c r="C16" s="81"/>
      <c r="D16" s="114"/>
      <c r="E16" s="83"/>
      <c r="F16" s="109"/>
      <c r="G16" s="83"/>
      <c r="H16" s="94"/>
      <c r="I16" s="85"/>
      <c r="J16" s="94"/>
      <c r="K16" s="93"/>
      <c r="N16" s="142"/>
    </row>
    <row r="17" spans="1:14" s="79" customFormat="1" ht="19.5" customHeight="1" x14ac:dyDescent="0.2">
      <c r="A17" s="88"/>
      <c r="B17" s="81" t="s">
        <v>102</v>
      </c>
      <c r="C17" s="81"/>
      <c r="D17" s="107">
        <v>588</v>
      </c>
      <c r="E17" s="83"/>
      <c r="F17" s="137" t="s">
        <v>56</v>
      </c>
      <c r="G17" s="83"/>
      <c r="H17" s="72"/>
      <c r="I17" s="85"/>
      <c r="J17" s="70">
        <f>H17*D17</f>
        <v>0</v>
      </c>
      <c r="K17" s="93"/>
      <c r="M17" s="142"/>
      <c r="N17" s="142"/>
    </row>
    <row r="18" spans="1:14" s="79" customFormat="1" ht="19.5" customHeight="1" x14ac:dyDescent="0.2">
      <c r="A18" s="88"/>
      <c r="B18" s="81" t="s">
        <v>143</v>
      </c>
      <c r="C18" s="81"/>
      <c r="D18" s="107">
        <v>231.8</v>
      </c>
      <c r="E18" s="83"/>
      <c r="F18" s="137" t="s">
        <v>56</v>
      </c>
      <c r="G18" s="83"/>
      <c r="H18" s="72"/>
      <c r="I18" s="85"/>
      <c r="J18" s="70">
        <f>H18*D18</f>
        <v>0</v>
      </c>
      <c r="K18" s="93"/>
      <c r="M18" s="142"/>
      <c r="N18" s="142"/>
    </row>
    <row r="19" spans="1:14" s="79" customFormat="1" ht="19.5" customHeight="1" x14ac:dyDescent="0.2">
      <c r="A19" s="88" t="s">
        <v>99</v>
      </c>
      <c r="B19" s="81" t="s">
        <v>100</v>
      </c>
      <c r="C19" s="81"/>
      <c r="D19" s="107">
        <v>99</v>
      </c>
      <c r="E19" s="83"/>
      <c r="F19" s="137" t="s">
        <v>9</v>
      </c>
      <c r="G19" s="83"/>
      <c r="H19" s="72"/>
      <c r="I19" s="85"/>
      <c r="J19" s="70">
        <f>H19*D19</f>
        <v>0</v>
      </c>
      <c r="K19" s="93"/>
      <c r="M19" s="142"/>
      <c r="N19" s="142"/>
    </row>
    <row r="20" spans="1:14" s="79" customFormat="1" ht="10.5" customHeight="1" x14ac:dyDescent="0.2">
      <c r="A20" s="80"/>
      <c r="B20" s="81"/>
      <c r="C20" s="81"/>
      <c r="D20" s="94"/>
      <c r="E20" s="83"/>
      <c r="F20" s="84"/>
      <c r="G20" s="83"/>
      <c r="H20" s="94"/>
      <c r="I20" s="85"/>
      <c r="J20" s="94"/>
      <c r="K20" s="93"/>
      <c r="N20" s="142"/>
    </row>
    <row r="21" spans="1:14" s="79" customFormat="1" ht="19.5" customHeight="1" thickBot="1" x14ac:dyDescent="0.3">
      <c r="A21" s="88"/>
      <c r="B21" s="81"/>
      <c r="C21" s="81"/>
      <c r="D21" s="116"/>
      <c r="E21" s="83"/>
      <c r="F21" s="137"/>
      <c r="G21" s="83"/>
      <c r="H21" s="111" t="s">
        <v>45</v>
      </c>
      <c r="I21" s="92"/>
      <c r="J21" s="112">
        <f>SUM(J17:J20)</f>
        <v>0</v>
      </c>
      <c r="K21" s="93"/>
      <c r="N21" s="142"/>
    </row>
    <row r="22" spans="1:14" s="87" customFormat="1" ht="19.5" customHeight="1" x14ac:dyDescent="0.2">
      <c r="A22" s="88" t="s">
        <v>67</v>
      </c>
      <c r="B22" s="89" t="s">
        <v>103</v>
      </c>
      <c r="C22" s="81"/>
      <c r="D22" s="113"/>
      <c r="E22" s="99"/>
      <c r="F22" s="99"/>
      <c r="G22" s="99"/>
      <c r="H22" s="100"/>
      <c r="I22" s="99"/>
      <c r="J22" s="100"/>
      <c r="K22" s="100"/>
      <c r="N22" s="142"/>
    </row>
    <row r="23" spans="1:14" s="87" customFormat="1" ht="19.5" customHeight="1" x14ac:dyDescent="0.2">
      <c r="A23" s="88" t="s">
        <v>104</v>
      </c>
      <c r="B23" s="89" t="s">
        <v>218</v>
      </c>
      <c r="C23" s="81"/>
      <c r="D23" s="113"/>
      <c r="E23" s="99"/>
      <c r="F23" s="99"/>
      <c r="G23" s="99"/>
      <c r="H23" s="100"/>
      <c r="I23" s="99"/>
      <c r="J23" s="100"/>
      <c r="K23" s="100"/>
      <c r="N23" s="142"/>
    </row>
    <row r="24" spans="1:14" s="87" customFormat="1" ht="19.5" customHeight="1" x14ac:dyDescent="0.2">
      <c r="A24" s="88"/>
      <c r="B24" s="81" t="s">
        <v>217</v>
      </c>
      <c r="C24" s="81"/>
      <c r="D24" s="107">
        <v>2600</v>
      </c>
      <c r="E24" s="83"/>
      <c r="F24" s="137" t="s">
        <v>29</v>
      </c>
      <c r="G24" s="83"/>
      <c r="H24" s="72"/>
      <c r="I24" s="85"/>
      <c r="J24" s="70">
        <f>H24*D24</f>
        <v>0</v>
      </c>
      <c r="K24" s="100"/>
      <c r="M24" s="142"/>
      <c r="N24" s="142"/>
    </row>
    <row r="25" spans="1:14" s="87" customFormat="1" ht="19.5" customHeight="1" x14ac:dyDescent="0.2">
      <c r="A25" s="88"/>
      <c r="B25" s="81"/>
      <c r="C25" s="81"/>
      <c r="D25" s="116"/>
      <c r="E25" s="83"/>
      <c r="F25" s="137"/>
      <c r="G25" s="83"/>
      <c r="H25" s="165"/>
      <c r="I25" s="85"/>
      <c r="J25" s="94"/>
      <c r="K25" s="100"/>
      <c r="N25" s="142"/>
    </row>
    <row r="26" spans="1:14" s="87" customFormat="1" ht="19.5" customHeight="1" x14ac:dyDescent="0.2">
      <c r="A26" s="88" t="s">
        <v>105</v>
      </c>
      <c r="B26" s="89" t="s">
        <v>35</v>
      </c>
      <c r="C26" s="81"/>
      <c r="D26" s="113"/>
      <c r="E26" s="99"/>
      <c r="F26" s="99"/>
      <c r="G26" s="99"/>
      <c r="H26" s="100"/>
      <c r="I26" s="99"/>
      <c r="J26" s="100"/>
      <c r="K26" s="100"/>
      <c r="N26" s="142"/>
    </row>
    <row r="27" spans="1:14" s="87" customFormat="1" ht="19.5" customHeight="1" x14ac:dyDescent="0.2">
      <c r="A27" s="88"/>
      <c r="B27" s="81" t="s">
        <v>32</v>
      </c>
      <c r="C27" s="81"/>
      <c r="D27" s="113"/>
      <c r="E27" s="83"/>
      <c r="H27" s="113"/>
      <c r="J27" s="113"/>
      <c r="K27" s="93"/>
      <c r="N27" s="142"/>
    </row>
    <row r="28" spans="1:14" s="87" customFormat="1" ht="19.5" customHeight="1" x14ac:dyDescent="0.2">
      <c r="A28" s="88"/>
      <c r="C28" s="115" t="s">
        <v>192</v>
      </c>
      <c r="D28" s="107">
        <v>50</v>
      </c>
      <c r="E28" s="83"/>
      <c r="F28" s="109" t="s">
        <v>9</v>
      </c>
      <c r="G28" s="83"/>
      <c r="H28" s="72"/>
      <c r="I28" s="85"/>
      <c r="J28" s="70">
        <f>H28*D28</f>
        <v>0</v>
      </c>
      <c r="K28" s="93"/>
      <c r="M28" s="142"/>
      <c r="N28" s="142"/>
    </row>
    <row r="29" spans="1:14" s="87" customFormat="1" ht="19.5" customHeight="1" x14ac:dyDescent="0.2">
      <c r="A29" s="88"/>
      <c r="C29" s="115" t="s">
        <v>75</v>
      </c>
      <c r="D29" s="107">
        <v>135</v>
      </c>
      <c r="E29" s="83"/>
      <c r="F29" s="109" t="s">
        <v>9</v>
      </c>
      <c r="G29" s="83"/>
      <c r="H29" s="72"/>
      <c r="I29" s="85"/>
      <c r="J29" s="70">
        <f>H29*D29</f>
        <v>0</v>
      </c>
      <c r="K29" s="93"/>
      <c r="M29" s="142"/>
      <c r="N29" s="142"/>
    </row>
    <row r="30" spans="1:14" s="87" customFormat="1" ht="19.5" customHeight="1" x14ac:dyDescent="0.2">
      <c r="A30" s="88"/>
      <c r="B30" s="81" t="s">
        <v>193</v>
      </c>
      <c r="C30" s="81"/>
      <c r="D30" s="94"/>
      <c r="E30" s="83"/>
      <c r="F30" s="109"/>
      <c r="G30" s="83"/>
      <c r="H30" s="94"/>
      <c r="I30" s="85"/>
      <c r="J30" s="94"/>
      <c r="K30" s="93"/>
      <c r="N30" s="142"/>
    </row>
    <row r="31" spans="1:14" s="87" customFormat="1" ht="19.5" customHeight="1" x14ac:dyDescent="0.2">
      <c r="A31" s="88"/>
      <c r="C31" s="115" t="s">
        <v>194</v>
      </c>
      <c r="D31" s="107">
        <v>25</v>
      </c>
      <c r="E31" s="83"/>
      <c r="F31" s="109" t="s">
        <v>9</v>
      </c>
      <c r="G31" s="83"/>
      <c r="H31" s="72"/>
      <c r="I31" s="85"/>
      <c r="J31" s="70">
        <f>H31*D31</f>
        <v>0</v>
      </c>
      <c r="K31" s="93"/>
      <c r="M31" s="142"/>
      <c r="N31" s="142"/>
    </row>
    <row r="32" spans="1:14" s="87" customFormat="1" ht="19.5" customHeight="1" x14ac:dyDescent="0.2">
      <c r="A32" s="88"/>
      <c r="C32" s="115" t="s">
        <v>75</v>
      </c>
      <c r="D32" s="107">
        <v>70</v>
      </c>
      <c r="E32" s="83"/>
      <c r="F32" s="109" t="s">
        <v>9</v>
      </c>
      <c r="G32" s="83"/>
      <c r="H32" s="72"/>
      <c r="I32" s="85"/>
      <c r="J32" s="70">
        <f>H32*D32</f>
        <v>0</v>
      </c>
      <c r="K32" s="93"/>
      <c r="M32" s="142"/>
      <c r="N32" s="142"/>
    </row>
    <row r="33" spans="1:17" s="87" customFormat="1" ht="19.5" customHeight="1" x14ac:dyDescent="0.2">
      <c r="A33" s="88"/>
      <c r="C33" s="115" t="s">
        <v>16</v>
      </c>
      <c r="D33" s="107">
        <v>4</v>
      </c>
      <c r="E33" s="83"/>
      <c r="F33" s="109" t="s">
        <v>9</v>
      </c>
      <c r="G33" s="83"/>
      <c r="H33" s="72"/>
      <c r="I33" s="85"/>
      <c r="J33" s="70">
        <f>H33*D33</f>
        <v>0</v>
      </c>
      <c r="K33" s="93"/>
      <c r="M33" s="142"/>
      <c r="N33" s="142"/>
    </row>
    <row r="34" spans="1:17" s="87" customFormat="1" ht="19.5" customHeight="1" x14ac:dyDescent="0.2">
      <c r="A34" s="88"/>
      <c r="C34" s="115" t="s">
        <v>18</v>
      </c>
      <c r="D34" s="107">
        <v>5</v>
      </c>
      <c r="E34" s="83"/>
      <c r="F34" s="109" t="s">
        <v>9</v>
      </c>
      <c r="G34" s="83"/>
      <c r="H34" s="72"/>
      <c r="I34" s="85"/>
      <c r="J34" s="70">
        <f>H34*D34</f>
        <v>0</v>
      </c>
      <c r="K34" s="93"/>
      <c r="M34" s="142"/>
      <c r="N34" s="142"/>
    </row>
    <row r="35" spans="1:17" s="87" customFormat="1" ht="19.5" customHeight="1" x14ac:dyDescent="0.2">
      <c r="A35" s="88"/>
      <c r="B35" s="81" t="s">
        <v>195</v>
      </c>
      <c r="C35" s="115"/>
      <c r="D35" s="116"/>
      <c r="E35" s="83"/>
      <c r="F35" s="109"/>
      <c r="G35" s="83"/>
      <c r="H35" s="94"/>
      <c r="I35" s="85"/>
      <c r="J35" s="94"/>
      <c r="K35" s="93"/>
      <c r="N35" s="142"/>
    </row>
    <row r="36" spans="1:17" s="87" customFormat="1" ht="19.5" customHeight="1" x14ac:dyDescent="0.2">
      <c r="A36" s="88"/>
      <c r="C36" s="115" t="s">
        <v>194</v>
      </c>
      <c r="D36" s="107">
        <v>35</v>
      </c>
      <c r="E36" s="83"/>
      <c r="F36" s="109" t="s">
        <v>9</v>
      </c>
      <c r="G36" s="83"/>
      <c r="H36" s="72"/>
      <c r="I36" s="85"/>
      <c r="J36" s="70">
        <f>H36*D36</f>
        <v>0</v>
      </c>
      <c r="K36" s="93"/>
      <c r="M36" s="142"/>
      <c r="N36" s="142"/>
    </row>
    <row r="37" spans="1:17" s="87" customFormat="1" ht="19.5" customHeight="1" x14ac:dyDescent="0.2">
      <c r="A37" s="88"/>
      <c r="C37" s="115" t="s">
        <v>75</v>
      </c>
      <c r="D37" s="107">
        <v>20</v>
      </c>
      <c r="E37" s="83"/>
      <c r="F37" s="109" t="s">
        <v>9</v>
      </c>
      <c r="G37" s="83"/>
      <c r="H37" s="72"/>
      <c r="I37" s="85"/>
      <c r="J37" s="70">
        <f>H37*D37</f>
        <v>0</v>
      </c>
      <c r="K37" s="93"/>
      <c r="M37" s="142"/>
      <c r="N37" s="142"/>
    </row>
    <row r="38" spans="1:17" s="87" customFormat="1" ht="19.5" customHeight="1" x14ac:dyDescent="0.2">
      <c r="A38" s="88"/>
      <c r="C38" s="115"/>
      <c r="D38" s="116"/>
      <c r="E38" s="83"/>
      <c r="F38" s="109"/>
      <c r="G38" s="83"/>
      <c r="H38" s="94"/>
      <c r="I38" s="85"/>
      <c r="J38" s="94"/>
      <c r="K38" s="93"/>
      <c r="M38" s="116"/>
      <c r="N38" s="142"/>
    </row>
    <row r="39" spans="1:17" s="87" customFormat="1" ht="19.5" customHeight="1" x14ac:dyDescent="0.25">
      <c r="A39" s="88" t="s">
        <v>219</v>
      </c>
      <c r="B39" s="139" t="s">
        <v>76</v>
      </c>
      <c r="C39" s="115"/>
      <c r="D39" s="94"/>
      <c r="E39" s="83"/>
      <c r="F39" s="109"/>
      <c r="G39" s="83"/>
      <c r="H39" s="111"/>
      <c r="I39" s="92"/>
      <c r="J39" s="93"/>
      <c r="K39" s="93"/>
      <c r="N39" s="142"/>
    </row>
    <row r="40" spans="1:17" s="87" customFormat="1" ht="19.5" customHeight="1" x14ac:dyDescent="0.25">
      <c r="A40" s="88"/>
      <c r="B40" s="81" t="s">
        <v>32</v>
      </c>
      <c r="C40" s="115"/>
      <c r="D40" s="94"/>
      <c r="E40" s="83"/>
      <c r="F40" s="109"/>
      <c r="G40" s="83"/>
      <c r="H40" s="111"/>
      <c r="I40" s="92"/>
      <c r="J40" s="93"/>
      <c r="K40" s="93"/>
      <c r="N40" s="142"/>
    </row>
    <row r="41" spans="1:17" s="87" customFormat="1" ht="19.5" customHeight="1" x14ac:dyDescent="0.2">
      <c r="A41" s="88"/>
      <c r="C41" s="115" t="s">
        <v>192</v>
      </c>
      <c r="D41" s="107">
        <v>50</v>
      </c>
      <c r="E41" s="83"/>
      <c r="F41" s="109" t="s">
        <v>9</v>
      </c>
      <c r="G41" s="83"/>
      <c r="H41" s="72"/>
      <c r="I41" s="85"/>
      <c r="J41" s="70">
        <f>H41*D41</f>
        <v>0</v>
      </c>
      <c r="K41" s="93"/>
      <c r="M41" s="142"/>
      <c r="N41" s="142"/>
      <c r="O41" s="177"/>
      <c r="P41" s="177"/>
      <c r="Q41" s="177"/>
    </row>
    <row r="42" spans="1:17" s="87" customFormat="1" ht="19.5" customHeight="1" x14ac:dyDescent="0.2">
      <c r="A42" s="88"/>
      <c r="C42" s="115" t="s">
        <v>75</v>
      </c>
      <c r="D42" s="107">
        <v>135</v>
      </c>
      <c r="E42" s="83"/>
      <c r="F42" s="109" t="s">
        <v>9</v>
      </c>
      <c r="G42" s="83"/>
      <c r="H42" s="72"/>
      <c r="I42" s="85"/>
      <c r="J42" s="70">
        <f>H42*D42</f>
        <v>0</v>
      </c>
      <c r="K42" s="93"/>
      <c r="M42" s="142"/>
      <c r="N42" s="176"/>
      <c r="O42" s="177"/>
      <c r="P42" s="177"/>
      <c r="Q42" s="177"/>
    </row>
    <row r="43" spans="1:17" s="87" customFormat="1" ht="19.5" customHeight="1" x14ac:dyDescent="0.2">
      <c r="A43" s="88"/>
      <c r="B43" s="81" t="s">
        <v>193</v>
      </c>
      <c r="C43" s="81"/>
      <c r="D43" s="94"/>
      <c r="E43" s="83"/>
      <c r="F43" s="109"/>
      <c r="G43" s="83"/>
      <c r="H43" s="94"/>
      <c r="I43" s="85"/>
      <c r="J43" s="94"/>
      <c r="K43" s="93"/>
      <c r="N43" s="142"/>
      <c r="O43" s="177"/>
      <c r="P43" s="177"/>
      <c r="Q43" s="177"/>
    </row>
    <row r="44" spans="1:17" s="87" customFormat="1" ht="19.5" customHeight="1" x14ac:dyDescent="0.2">
      <c r="A44" s="88"/>
      <c r="C44" s="115" t="s">
        <v>194</v>
      </c>
      <c r="D44" s="107">
        <v>29</v>
      </c>
      <c r="E44" s="83"/>
      <c r="F44" s="109" t="s">
        <v>9</v>
      </c>
      <c r="G44" s="83"/>
      <c r="H44" s="72"/>
      <c r="I44" s="85"/>
      <c r="J44" s="70">
        <f>H44*D44</f>
        <v>0</v>
      </c>
      <c r="K44" s="93"/>
      <c r="M44" s="142"/>
      <c r="N44" s="142"/>
      <c r="O44" s="177"/>
      <c r="P44" s="177"/>
      <c r="Q44" s="177"/>
    </row>
    <row r="45" spans="1:17" s="87" customFormat="1" ht="19.5" customHeight="1" x14ac:dyDescent="0.2">
      <c r="A45" s="88"/>
      <c r="C45" s="115" t="s">
        <v>75</v>
      </c>
      <c r="D45" s="107">
        <v>75</v>
      </c>
      <c r="E45" s="83"/>
      <c r="F45" s="109" t="s">
        <v>9</v>
      </c>
      <c r="G45" s="83"/>
      <c r="H45" s="72"/>
      <c r="I45" s="85"/>
      <c r="J45" s="70">
        <f>H45*D45</f>
        <v>0</v>
      </c>
      <c r="K45" s="93"/>
      <c r="M45" s="142"/>
      <c r="N45" s="142"/>
      <c r="O45" s="177"/>
      <c r="P45" s="177"/>
      <c r="Q45" s="177"/>
    </row>
    <row r="46" spans="1:17" s="87" customFormat="1" ht="19.5" customHeight="1" x14ac:dyDescent="0.2">
      <c r="A46" s="88"/>
      <c r="B46" s="81" t="s">
        <v>195</v>
      </c>
      <c r="C46" s="115"/>
      <c r="D46" s="116"/>
      <c r="E46" s="83"/>
      <c r="F46" s="109"/>
      <c r="G46" s="83"/>
      <c r="H46" s="94"/>
      <c r="I46" s="85"/>
      <c r="J46" s="94"/>
      <c r="K46" s="93"/>
      <c r="N46" s="142"/>
      <c r="O46" s="177"/>
      <c r="P46" s="177"/>
      <c r="Q46" s="177"/>
    </row>
    <row r="47" spans="1:17" s="87" customFormat="1" ht="19.5" customHeight="1" x14ac:dyDescent="0.2">
      <c r="A47" s="88"/>
      <c r="C47" s="115" t="s">
        <v>194</v>
      </c>
      <c r="D47" s="107">
        <v>35</v>
      </c>
      <c r="E47" s="83"/>
      <c r="F47" s="109" t="s">
        <v>9</v>
      </c>
      <c r="G47" s="83"/>
      <c r="H47" s="72"/>
      <c r="I47" s="85"/>
      <c r="J47" s="70">
        <f>H47*D47</f>
        <v>0</v>
      </c>
      <c r="K47" s="93"/>
      <c r="N47" s="142"/>
      <c r="O47" s="177"/>
      <c r="P47" s="177"/>
      <c r="Q47" s="177"/>
    </row>
    <row r="48" spans="1:17" s="87" customFormat="1" ht="19.5" customHeight="1" x14ac:dyDescent="0.2">
      <c r="A48" s="88"/>
      <c r="C48" s="115" t="s">
        <v>75</v>
      </c>
      <c r="D48" s="107">
        <v>20</v>
      </c>
      <c r="E48" s="83"/>
      <c r="F48" s="109" t="s">
        <v>9</v>
      </c>
      <c r="G48" s="83"/>
      <c r="H48" s="72"/>
      <c r="I48" s="85"/>
      <c r="J48" s="70">
        <f>H48*D48</f>
        <v>0</v>
      </c>
      <c r="K48" s="93"/>
      <c r="N48" s="142"/>
      <c r="O48" s="177"/>
      <c r="P48" s="177"/>
      <c r="Q48" s="177"/>
    </row>
    <row r="49" spans="1:14" s="87" customFormat="1" ht="19.5" customHeight="1" x14ac:dyDescent="0.2">
      <c r="A49" s="88"/>
      <c r="C49" s="115"/>
      <c r="D49" s="116"/>
      <c r="E49" s="83"/>
      <c r="F49" s="109"/>
      <c r="G49" s="83"/>
      <c r="H49" s="165"/>
      <c r="I49" s="85"/>
      <c r="J49" s="94"/>
      <c r="K49" s="93"/>
      <c r="N49" s="142"/>
    </row>
    <row r="50" spans="1:14" s="87" customFormat="1" ht="19.5" customHeight="1" thickBot="1" x14ac:dyDescent="0.3">
      <c r="A50" s="88"/>
      <c r="C50" s="115"/>
      <c r="D50" s="116"/>
      <c r="E50" s="83"/>
      <c r="F50" s="109"/>
      <c r="G50" s="83"/>
      <c r="H50" s="111" t="s">
        <v>74</v>
      </c>
      <c r="I50" s="92"/>
      <c r="J50" s="112">
        <f>SUM(J24:J49)</f>
        <v>0</v>
      </c>
      <c r="K50" s="93"/>
      <c r="N50" s="142"/>
    </row>
    <row r="51" spans="1:14" ht="19.5" customHeight="1" x14ac:dyDescent="0.2">
      <c r="A51" s="88"/>
      <c r="B51" s="89"/>
      <c r="C51" s="115"/>
      <c r="D51" s="94"/>
      <c r="E51" s="83"/>
      <c r="G51" s="83"/>
      <c r="H51" s="94"/>
      <c r="I51" s="85"/>
      <c r="J51" s="94"/>
      <c r="K51" s="93"/>
      <c r="N51" s="142"/>
    </row>
    <row r="52" spans="1:14" ht="19.5" customHeight="1" thickBot="1" x14ac:dyDescent="0.25">
      <c r="A52" s="88"/>
      <c r="B52" s="89"/>
      <c r="C52" s="115"/>
      <c r="D52" s="94"/>
      <c r="E52" s="83"/>
      <c r="F52" s="117"/>
      <c r="G52" s="96"/>
      <c r="H52" s="97" t="s">
        <v>46</v>
      </c>
      <c r="I52" s="106"/>
      <c r="J52" s="199">
        <f>J50+J21</f>
        <v>0</v>
      </c>
      <c r="K52" s="199"/>
      <c r="N52" s="142"/>
    </row>
    <row r="53" spans="1:14" ht="19.5" customHeight="1" x14ac:dyDescent="0.2">
      <c r="A53" s="88" t="s">
        <v>36</v>
      </c>
      <c r="B53" s="89" t="s">
        <v>10</v>
      </c>
      <c r="C53" s="81"/>
      <c r="D53" s="118"/>
      <c r="H53" s="118"/>
      <c r="I53" s="108"/>
      <c r="J53" s="118"/>
      <c r="K53" s="110"/>
      <c r="N53" s="142"/>
    </row>
    <row r="54" spans="1:14" ht="19.5" customHeight="1" x14ac:dyDescent="0.2">
      <c r="A54" s="88" t="s">
        <v>37</v>
      </c>
      <c r="B54" s="89" t="s">
        <v>11</v>
      </c>
      <c r="D54" s="118"/>
      <c r="H54" s="118"/>
      <c r="I54" s="108"/>
      <c r="J54" s="118"/>
      <c r="K54" s="110"/>
      <c r="N54" s="142"/>
    </row>
    <row r="55" spans="1:14" ht="19.5" customHeight="1" x14ac:dyDescent="0.2">
      <c r="A55" s="88"/>
      <c r="B55" s="81" t="s">
        <v>12</v>
      </c>
      <c r="D55" s="118"/>
      <c r="H55" s="118"/>
      <c r="I55" s="108"/>
      <c r="J55" s="118"/>
      <c r="K55" s="110"/>
      <c r="N55" s="142"/>
    </row>
    <row r="56" spans="1:14" ht="19.5" customHeight="1" x14ac:dyDescent="0.2">
      <c r="B56" s="120" t="s">
        <v>40</v>
      </c>
      <c r="D56" s="70">
        <v>278</v>
      </c>
      <c r="F56" s="109" t="s">
        <v>9</v>
      </c>
      <c r="H56" s="72"/>
      <c r="I56" s="108"/>
      <c r="J56" s="70">
        <f>H56*D56</f>
        <v>0</v>
      </c>
      <c r="K56" s="110"/>
      <c r="M56" s="142"/>
      <c r="N56" s="142"/>
    </row>
    <row r="57" spans="1:14" ht="19.5" customHeight="1" x14ac:dyDescent="0.2">
      <c r="B57" s="120" t="s">
        <v>144</v>
      </c>
      <c r="D57" s="70">
        <v>344</v>
      </c>
      <c r="F57" s="137" t="s">
        <v>9</v>
      </c>
      <c r="H57" s="72"/>
      <c r="I57" s="108"/>
      <c r="J57" s="70">
        <f>H57*D57</f>
        <v>0</v>
      </c>
      <c r="K57" s="110"/>
      <c r="M57" s="142"/>
      <c r="N57" s="142"/>
    </row>
    <row r="58" spans="1:14" ht="19.5" customHeight="1" x14ac:dyDescent="0.2">
      <c r="D58" s="118"/>
      <c r="H58" s="118"/>
      <c r="I58" s="108"/>
      <c r="J58" s="118"/>
      <c r="K58" s="110"/>
      <c r="N58" s="142"/>
    </row>
    <row r="59" spans="1:14" s="123" customFormat="1" ht="19.5" customHeight="1" thickBot="1" x14ac:dyDescent="0.3">
      <c r="A59" s="80"/>
      <c r="B59" s="81"/>
      <c r="C59" s="87"/>
      <c r="D59" s="121"/>
      <c r="E59" s="108"/>
      <c r="F59" s="109"/>
      <c r="G59" s="108"/>
      <c r="H59" s="111" t="s">
        <v>47</v>
      </c>
      <c r="I59" s="92"/>
      <c r="J59" s="112">
        <f>SUM(J56:J57)</f>
        <v>0</v>
      </c>
      <c r="K59" s="122"/>
      <c r="N59" s="142"/>
    </row>
    <row r="60" spans="1:14" ht="19.5" customHeight="1" x14ac:dyDescent="0.2">
      <c r="A60" s="88" t="s">
        <v>38</v>
      </c>
      <c r="B60" s="89" t="s">
        <v>31</v>
      </c>
      <c r="D60" s="118"/>
      <c r="H60" s="118"/>
      <c r="I60" s="108"/>
      <c r="J60" s="118"/>
      <c r="K60" s="110"/>
      <c r="N60" s="142"/>
    </row>
    <row r="61" spans="1:14" ht="19.5" customHeight="1" x14ac:dyDescent="0.2">
      <c r="B61" s="87" t="s">
        <v>77</v>
      </c>
      <c r="D61" s="107">
        <v>10</v>
      </c>
      <c r="F61" s="109" t="s">
        <v>13</v>
      </c>
      <c r="H61" s="72"/>
      <c r="I61" s="108"/>
      <c r="J61" s="70">
        <f>H61*D61</f>
        <v>0</v>
      </c>
      <c r="K61" s="110"/>
      <c r="M61" s="142"/>
      <c r="N61" s="142"/>
    </row>
    <row r="62" spans="1:14" ht="19.5" customHeight="1" x14ac:dyDescent="0.2">
      <c r="D62" s="116"/>
      <c r="H62" s="94"/>
      <c r="I62" s="108"/>
      <c r="J62" s="94"/>
      <c r="K62" s="110"/>
      <c r="N62" s="142"/>
    </row>
    <row r="63" spans="1:14" ht="19.5" customHeight="1" thickBot="1" x14ac:dyDescent="0.3">
      <c r="D63" s="118"/>
      <c r="H63" s="111" t="s">
        <v>48</v>
      </c>
      <c r="I63" s="108"/>
      <c r="J63" s="112">
        <f>SUM(J61:J61)</f>
        <v>0</v>
      </c>
      <c r="K63" s="110"/>
      <c r="N63" s="142"/>
    </row>
    <row r="64" spans="1:14" ht="19.5" customHeight="1" x14ac:dyDescent="0.2">
      <c r="A64" s="88" t="s">
        <v>39</v>
      </c>
      <c r="B64" s="89" t="s">
        <v>14</v>
      </c>
      <c r="D64" s="118"/>
      <c r="H64" s="118"/>
      <c r="I64" s="108"/>
      <c r="J64" s="118"/>
      <c r="K64" s="110"/>
      <c r="N64" s="142"/>
    </row>
    <row r="65" spans="1:14" s="124" customFormat="1" ht="19.5" customHeight="1" x14ac:dyDescent="0.2">
      <c r="A65" s="119"/>
      <c r="B65" s="87" t="s">
        <v>30</v>
      </c>
      <c r="C65" s="87"/>
      <c r="D65" s="107">
        <v>10</v>
      </c>
      <c r="E65" s="108"/>
      <c r="F65" s="109" t="s">
        <v>13</v>
      </c>
      <c r="G65" s="108"/>
      <c r="H65" s="72"/>
      <c r="I65" s="108"/>
      <c r="J65" s="70">
        <f>H65*D65</f>
        <v>0</v>
      </c>
      <c r="K65" s="110"/>
      <c r="M65" s="142"/>
      <c r="N65" s="142"/>
    </row>
    <row r="66" spans="1:14" s="124" customFormat="1" ht="19.5" customHeight="1" x14ac:dyDescent="0.2">
      <c r="A66" s="119"/>
      <c r="B66" s="87"/>
      <c r="C66" s="87"/>
      <c r="D66" s="116"/>
      <c r="E66" s="108"/>
      <c r="F66" s="109"/>
      <c r="G66" s="108"/>
      <c r="H66" s="165"/>
      <c r="I66" s="108"/>
      <c r="J66" s="94"/>
      <c r="K66" s="110"/>
      <c r="N66" s="142"/>
    </row>
    <row r="67" spans="1:14" s="124" customFormat="1" ht="19.5" customHeight="1" thickBot="1" x14ac:dyDescent="0.3">
      <c r="A67" s="119"/>
      <c r="B67" s="87"/>
      <c r="C67" s="87"/>
      <c r="D67" s="118"/>
      <c r="E67" s="108"/>
      <c r="F67" s="109"/>
      <c r="G67" s="108"/>
      <c r="H67" s="111" t="s">
        <v>49</v>
      </c>
      <c r="I67" s="108"/>
      <c r="J67" s="112">
        <f>SUM(J65:J65)</f>
        <v>0</v>
      </c>
      <c r="K67" s="110"/>
      <c r="N67" s="142"/>
    </row>
    <row r="68" spans="1:14" ht="19.5" customHeight="1" x14ac:dyDescent="0.2">
      <c r="A68" s="88" t="s">
        <v>79</v>
      </c>
      <c r="B68" s="89" t="s">
        <v>174</v>
      </c>
      <c r="D68" s="125"/>
      <c r="H68" s="118"/>
      <c r="I68" s="108"/>
      <c r="J68" s="118"/>
      <c r="K68" s="110"/>
      <c r="N68" s="142"/>
    </row>
    <row r="69" spans="1:14" ht="19.5" customHeight="1" x14ac:dyDescent="0.2">
      <c r="A69" s="88" t="s">
        <v>173</v>
      </c>
      <c r="B69" s="89" t="s">
        <v>220</v>
      </c>
      <c r="D69" s="125"/>
      <c r="H69" s="118"/>
      <c r="I69" s="108"/>
      <c r="J69" s="118"/>
      <c r="K69" s="110"/>
      <c r="N69" s="142"/>
    </row>
    <row r="70" spans="1:14" ht="19.5" customHeight="1" x14ac:dyDescent="0.2">
      <c r="A70" s="88"/>
      <c r="B70" s="89"/>
      <c r="C70" s="87" t="s">
        <v>169</v>
      </c>
      <c r="D70" s="107">
        <v>212</v>
      </c>
      <c r="F70" s="109" t="s">
        <v>9</v>
      </c>
      <c r="H70" s="72"/>
      <c r="I70" s="108"/>
      <c r="J70" s="70">
        <f>H70*D70</f>
        <v>0</v>
      </c>
      <c r="K70" s="110"/>
      <c r="M70" s="142"/>
      <c r="N70" s="142"/>
    </row>
    <row r="71" spans="1:14" ht="19.5" customHeight="1" x14ac:dyDescent="0.2">
      <c r="A71" s="88"/>
      <c r="B71" s="89"/>
      <c r="C71" s="87" t="s">
        <v>170</v>
      </c>
      <c r="D71" s="107">
        <v>78</v>
      </c>
      <c r="F71" s="109" t="s">
        <v>9</v>
      </c>
      <c r="H71" s="72"/>
      <c r="I71" s="108"/>
      <c r="J71" s="70">
        <f>H71*D71</f>
        <v>0</v>
      </c>
      <c r="K71" s="110"/>
      <c r="M71" s="142"/>
      <c r="N71" s="142"/>
    </row>
    <row r="72" spans="1:14" s="124" customFormat="1" ht="19.5" customHeight="1" x14ac:dyDescent="0.2">
      <c r="A72" s="88" t="s">
        <v>175</v>
      </c>
      <c r="B72" s="126" t="s">
        <v>171</v>
      </c>
      <c r="C72" s="87"/>
      <c r="D72" s="127"/>
      <c r="H72" s="127"/>
      <c r="J72" s="127"/>
      <c r="K72" s="110"/>
      <c r="N72" s="142"/>
    </row>
    <row r="73" spans="1:14" s="124" customFormat="1" ht="19.5" customHeight="1" x14ac:dyDescent="0.2">
      <c r="A73" s="119"/>
      <c r="B73" s="126"/>
      <c r="C73" s="87" t="s">
        <v>172</v>
      </c>
      <c r="D73" s="107">
        <v>2</v>
      </c>
      <c r="E73" s="108"/>
      <c r="F73" s="109" t="s">
        <v>13</v>
      </c>
      <c r="G73" s="108"/>
      <c r="H73" s="72"/>
      <c r="I73" s="108"/>
      <c r="J73" s="70">
        <f>H73*D73</f>
        <v>0</v>
      </c>
      <c r="K73" s="110"/>
      <c r="M73" s="142"/>
      <c r="N73" s="142"/>
    </row>
    <row r="74" spans="1:14" s="124" customFormat="1" ht="19.5" customHeight="1" x14ac:dyDescent="0.2">
      <c r="A74" s="119"/>
      <c r="B74" s="87"/>
      <c r="C74" s="87"/>
      <c r="D74" s="125"/>
      <c r="E74" s="108"/>
      <c r="F74" s="109"/>
      <c r="G74" s="108"/>
      <c r="H74" s="94"/>
      <c r="I74" s="108"/>
      <c r="J74" s="94"/>
      <c r="K74" s="110"/>
      <c r="N74" s="142"/>
    </row>
    <row r="75" spans="1:14" s="124" customFormat="1" ht="19.5" customHeight="1" x14ac:dyDescent="0.2">
      <c r="A75" s="88" t="s">
        <v>176</v>
      </c>
      <c r="B75" s="126" t="s">
        <v>177</v>
      </c>
      <c r="C75" s="87"/>
      <c r="D75" s="107">
        <v>14</v>
      </c>
      <c r="E75" s="108"/>
      <c r="F75" s="109" t="s">
        <v>13</v>
      </c>
      <c r="G75" s="108"/>
      <c r="H75" s="72"/>
      <c r="I75" s="108"/>
      <c r="J75" s="70">
        <f>H75*D75</f>
        <v>0</v>
      </c>
      <c r="K75" s="110"/>
      <c r="M75" s="142"/>
      <c r="N75" s="142"/>
    </row>
    <row r="76" spans="1:14" s="124" customFormat="1" ht="19.5" customHeight="1" x14ac:dyDescent="0.2">
      <c r="A76" s="88" t="s">
        <v>178</v>
      </c>
      <c r="B76" s="126" t="s">
        <v>113</v>
      </c>
      <c r="C76" s="87"/>
      <c r="D76" s="107">
        <v>195</v>
      </c>
      <c r="E76" s="108"/>
      <c r="F76" s="109" t="s">
        <v>9</v>
      </c>
      <c r="G76" s="108"/>
      <c r="H76" s="72"/>
      <c r="I76" s="108"/>
      <c r="J76" s="70">
        <f>H76*D76</f>
        <v>0</v>
      </c>
      <c r="K76" s="110"/>
      <c r="M76" s="142"/>
      <c r="N76" s="142"/>
    </row>
    <row r="77" spans="1:14" s="124" customFormat="1" ht="19.5" customHeight="1" x14ac:dyDescent="0.2">
      <c r="A77" s="88"/>
      <c r="B77" s="126"/>
      <c r="C77" s="87"/>
      <c r="D77" s="116"/>
      <c r="E77" s="108"/>
      <c r="F77" s="109"/>
      <c r="G77" s="108"/>
      <c r="H77" s="165"/>
      <c r="I77" s="108"/>
      <c r="J77" s="94"/>
      <c r="K77" s="110"/>
      <c r="N77" s="142"/>
    </row>
    <row r="78" spans="1:14" s="124" customFormat="1" ht="19.5" customHeight="1" thickBot="1" x14ac:dyDescent="0.3">
      <c r="A78" s="80"/>
      <c r="B78" s="81"/>
      <c r="C78" s="87"/>
      <c r="D78" s="125"/>
      <c r="E78" s="108"/>
      <c r="F78" s="109"/>
      <c r="G78" s="108"/>
      <c r="H78" s="111" t="s">
        <v>80</v>
      </c>
      <c r="I78" s="108"/>
      <c r="J78" s="112">
        <f>SUM(J70:J76)</f>
        <v>0</v>
      </c>
      <c r="K78" s="122"/>
      <c r="N78" s="142"/>
    </row>
    <row r="79" spans="1:14" s="124" customFormat="1" ht="19.5" customHeight="1" x14ac:dyDescent="0.25">
      <c r="A79" s="80"/>
      <c r="B79" s="81"/>
      <c r="C79" s="87"/>
      <c r="D79" s="125"/>
      <c r="E79" s="108"/>
      <c r="F79" s="109"/>
      <c r="G79" s="108"/>
      <c r="H79" s="111"/>
      <c r="I79" s="108"/>
      <c r="J79" s="93"/>
      <c r="K79" s="122"/>
      <c r="N79" s="142"/>
    </row>
    <row r="80" spans="1:14" s="124" customFormat="1" ht="19.5" customHeight="1" thickBot="1" x14ac:dyDescent="0.25">
      <c r="A80" s="119"/>
      <c r="B80" s="87"/>
      <c r="C80" s="87"/>
      <c r="D80" s="118"/>
      <c r="E80" s="108"/>
      <c r="F80" s="117"/>
      <c r="G80" s="128"/>
      <c r="H80" s="129" t="s">
        <v>50</v>
      </c>
      <c r="I80" s="128"/>
      <c r="J80" s="199">
        <f>J78+J67+J63+J59</f>
        <v>0</v>
      </c>
      <c r="K80" s="199"/>
      <c r="N80" s="142"/>
    </row>
    <row r="81" spans="1:14" s="124" customFormat="1" ht="19.5" customHeight="1" x14ac:dyDescent="0.2">
      <c r="A81" s="88" t="s">
        <v>42</v>
      </c>
      <c r="B81" s="89" t="s">
        <v>41</v>
      </c>
      <c r="C81" s="81"/>
      <c r="D81" s="99"/>
      <c r="E81" s="108"/>
      <c r="F81" s="109"/>
      <c r="G81" s="108"/>
      <c r="H81" s="118"/>
      <c r="I81" s="108"/>
      <c r="J81" s="118"/>
      <c r="K81" s="110"/>
      <c r="N81" s="142"/>
    </row>
    <row r="82" spans="1:14" s="124" customFormat="1" ht="19.5" customHeight="1" x14ac:dyDescent="0.2">
      <c r="A82" s="130" t="s">
        <v>43</v>
      </c>
      <c r="B82" s="81" t="s">
        <v>107</v>
      </c>
      <c r="C82" s="87"/>
      <c r="D82" s="107">
        <v>1200</v>
      </c>
      <c r="E82" s="108"/>
      <c r="F82" s="109" t="s">
        <v>29</v>
      </c>
      <c r="G82" s="108"/>
      <c r="H82" s="72"/>
      <c r="I82" s="108"/>
      <c r="J82" s="70">
        <f>H82*D82</f>
        <v>0</v>
      </c>
      <c r="K82" s="110"/>
      <c r="M82" s="142"/>
      <c r="N82" s="142"/>
    </row>
    <row r="83" spans="1:14" s="124" customFormat="1" ht="19.5" customHeight="1" x14ac:dyDescent="0.2">
      <c r="A83" s="130" t="s">
        <v>106</v>
      </c>
      <c r="B83" s="81" t="s">
        <v>159</v>
      </c>
      <c r="C83" s="87"/>
      <c r="D83" s="107">
        <v>1100</v>
      </c>
      <c r="E83" s="108"/>
      <c r="F83" s="109" t="s">
        <v>29</v>
      </c>
      <c r="G83" s="108"/>
      <c r="H83" s="72"/>
      <c r="I83" s="108"/>
      <c r="J83" s="70">
        <f>H83*D83</f>
        <v>0</v>
      </c>
      <c r="K83" s="110"/>
      <c r="M83" s="142"/>
      <c r="N83" s="142"/>
    </row>
    <row r="84" spans="1:14" s="124" customFormat="1" ht="19.5" customHeight="1" x14ac:dyDescent="0.2">
      <c r="A84" s="130" t="s">
        <v>145</v>
      </c>
      <c r="B84" s="81" t="s">
        <v>221</v>
      </c>
      <c r="C84" s="87"/>
      <c r="D84" s="107">
        <v>2336</v>
      </c>
      <c r="E84" s="108"/>
      <c r="F84" s="137" t="s">
        <v>56</v>
      </c>
      <c r="G84" s="108"/>
      <c r="H84" s="72"/>
      <c r="I84" s="108"/>
      <c r="J84" s="70">
        <f>H84*D84</f>
        <v>0</v>
      </c>
      <c r="K84" s="110"/>
      <c r="M84" s="142"/>
      <c r="N84" s="142"/>
    </row>
    <row r="85" spans="1:14" s="131" customFormat="1" ht="19.5" customHeight="1" x14ac:dyDescent="0.2">
      <c r="A85" s="130"/>
      <c r="B85" s="87"/>
      <c r="C85" s="87"/>
      <c r="D85" s="116"/>
      <c r="E85" s="108"/>
      <c r="F85" s="109"/>
      <c r="G85" s="108"/>
      <c r="H85" s="94"/>
      <c r="I85" s="108"/>
      <c r="J85" s="94"/>
      <c r="K85" s="110"/>
      <c r="N85" s="142"/>
    </row>
    <row r="86" spans="1:14" s="131" customFormat="1" ht="19.5" customHeight="1" thickBot="1" x14ac:dyDescent="0.25">
      <c r="A86" s="119"/>
      <c r="B86" s="87"/>
      <c r="C86" s="87"/>
      <c r="D86" s="118"/>
      <c r="E86" s="108"/>
      <c r="F86" s="117"/>
      <c r="G86" s="128"/>
      <c r="H86" s="129" t="s">
        <v>51</v>
      </c>
      <c r="I86" s="128"/>
      <c r="J86" s="199">
        <f>SUM(J82:J85)</f>
        <v>0</v>
      </c>
      <c r="K86" s="199"/>
      <c r="N86" s="142"/>
    </row>
    <row r="87" spans="1:14" ht="19.5" customHeight="1" x14ac:dyDescent="0.2">
      <c r="A87" s="88" t="s">
        <v>146</v>
      </c>
      <c r="B87" s="89" t="s">
        <v>147</v>
      </c>
      <c r="C87" s="81"/>
      <c r="D87" s="99"/>
      <c r="E87" s="99"/>
      <c r="F87" s="99"/>
      <c r="G87" s="99"/>
      <c r="H87" s="99"/>
      <c r="I87" s="99"/>
      <c r="J87" s="99"/>
      <c r="K87" s="99"/>
      <c r="L87" s="99"/>
      <c r="N87" s="142"/>
    </row>
    <row r="88" spans="1:14" ht="19.5" customHeight="1" x14ac:dyDescent="0.2">
      <c r="A88" s="133"/>
      <c r="B88" s="87" t="s">
        <v>156</v>
      </c>
      <c r="C88" s="132"/>
      <c r="D88" s="107">
        <v>527</v>
      </c>
      <c r="F88" s="137" t="s">
        <v>56</v>
      </c>
      <c r="H88" s="72"/>
      <c r="I88" s="108"/>
      <c r="J88" s="70">
        <f>H88*D88</f>
        <v>0</v>
      </c>
      <c r="K88" s="99"/>
      <c r="L88" s="99"/>
      <c r="M88" s="142"/>
      <c r="N88" s="142"/>
    </row>
    <row r="89" spans="1:14" ht="19.5" customHeight="1" x14ac:dyDescent="0.2">
      <c r="A89" s="133"/>
      <c r="C89" s="132"/>
      <c r="D89" s="116"/>
      <c r="F89" s="137"/>
      <c r="H89" s="178"/>
      <c r="I89" s="108"/>
      <c r="J89" s="94"/>
      <c r="K89" s="99"/>
      <c r="L89" s="99"/>
      <c r="N89" s="142"/>
    </row>
    <row r="90" spans="1:14" ht="19.5" customHeight="1" thickBot="1" x14ac:dyDescent="0.25">
      <c r="A90" s="133"/>
      <c r="C90" s="132"/>
      <c r="D90" s="116"/>
      <c r="F90" s="179"/>
      <c r="G90" s="128"/>
      <c r="H90" s="129" t="s">
        <v>211</v>
      </c>
      <c r="I90" s="128"/>
      <c r="J90" s="199">
        <f>SUM(J88:J89)</f>
        <v>0</v>
      </c>
      <c r="K90" s="199"/>
      <c r="L90" s="99"/>
      <c r="N90" s="142"/>
    </row>
    <row r="91" spans="1:14" ht="19.5" customHeight="1" x14ac:dyDescent="0.2">
      <c r="A91" s="133"/>
      <c r="C91" s="132"/>
      <c r="D91" s="99"/>
      <c r="E91" s="99"/>
      <c r="F91" s="99"/>
      <c r="G91" s="99"/>
      <c r="H91" s="99"/>
      <c r="I91" s="99"/>
      <c r="J91" s="99"/>
      <c r="K91" s="99"/>
      <c r="L91" s="99"/>
      <c r="N91" s="142"/>
    </row>
    <row r="92" spans="1:14" ht="19.5" customHeight="1" x14ac:dyDescent="0.2">
      <c r="A92" s="88" t="s">
        <v>154</v>
      </c>
      <c r="B92" s="89" t="s">
        <v>155</v>
      </c>
      <c r="C92" s="81"/>
      <c r="D92" s="99"/>
      <c r="E92" s="99"/>
      <c r="F92" s="99"/>
      <c r="G92" s="99"/>
      <c r="H92" s="99"/>
      <c r="I92" s="99"/>
      <c r="J92" s="99"/>
      <c r="K92" s="99"/>
      <c r="L92" s="99"/>
      <c r="N92" s="142"/>
    </row>
    <row r="93" spans="1:14" ht="19.5" customHeight="1" x14ac:dyDescent="0.2">
      <c r="A93" s="180" t="s">
        <v>223</v>
      </c>
      <c r="B93" s="87" t="s">
        <v>222</v>
      </c>
      <c r="C93" s="132"/>
      <c r="D93" s="107">
        <v>170</v>
      </c>
      <c r="F93" s="137" t="s">
        <v>9</v>
      </c>
      <c r="H93" s="72"/>
      <c r="I93" s="108"/>
      <c r="J93" s="70">
        <f>H93*D93</f>
        <v>0</v>
      </c>
      <c r="K93" s="99"/>
      <c r="L93" s="99"/>
      <c r="M93" s="142"/>
      <c r="N93" s="142"/>
    </row>
    <row r="94" spans="1:14" ht="19.5" customHeight="1" x14ac:dyDescent="0.2">
      <c r="A94" s="180" t="s">
        <v>224</v>
      </c>
      <c r="B94" s="87" t="s">
        <v>157</v>
      </c>
      <c r="C94" s="132"/>
      <c r="D94" s="107">
        <v>262</v>
      </c>
      <c r="F94" s="137" t="s">
        <v>56</v>
      </c>
      <c r="H94" s="72"/>
      <c r="I94" s="108"/>
      <c r="J94" s="70">
        <f>H94*D94</f>
        <v>0</v>
      </c>
      <c r="K94" s="99"/>
      <c r="L94" s="99"/>
      <c r="M94" s="142"/>
      <c r="N94" s="142"/>
    </row>
    <row r="95" spans="1:14" ht="19.5" customHeight="1" x14ac:dyDescent="0.2">
      <c r="A95" s="180" t="s">
        <v>225</v>
      </c>
      <c r="B95" s="87" t="s">
        <v>213</v>
      </c>
      <c r="C95" s="132"/>
      <c r="D95"/>
      <c r="E95"/>
      <c r="F95"/>
      <c r="G95"/>
      <c r="H95"/>
      <c r="I95"/>
      <c r="J95"/>
      <c r="K95" s="99"/>
      <c r="L95" s="99"/>
      <c r="N95" s="142"/>
    </row>
    <row r="96" spans="1:14" ht="19.5" customHeight="1" x14ac:dyDescent="0.2">
      <c r="A96" s="133"/>
      <c r="B96" s="87" t="s">
        <v>214</v>
      </c>
      <c r="C96" s="132"/>
      <c r="D96" s="107">
        <v>40</v>
      </c>
      <c r="F96" s="137" t="s">
        <v>56</v>
      </c>
      <c r="H96" s="72"/>
      <c r="I96" s="108"/>
      <c r="J96" s="70">
        <f t="shared" ref="J96:J100" si="0">H96*D96</f>
        <v>0</v>
      </c>
      <c r="K96" s="99"/>
      <c r="L96" s="99"/>
      <c r="M96" s="142"/>
      <c r="N96" s="142"/>
    </row>
    <row r="97" spans="1:14" ht="19.5" customHeight="1" x14ac:dyDescent="0.2">
      <c r="A97" s="133"/>
      <c r="B97" s="87" t="s">
        <v>244</v>
      </c>
      <c r="C97" s="132"/>
      <c r="D97" s="107">
        <v>38</v>
      </c>
      <c r="F97" s="137" t="s">
        <v>56</v>
      </c>
      <c r="H97" s="72"/>
      <c r="I97" s="108"/>
      <c r="J97" s="70">
        <f t="shared" si="0"/>
        <v>0</v>
      </c>
      <c r="K97" s="99"/>
      <c r="L97" s="99"/>
      <c r="M97" s="142"/>
      <c r="N97" s="142"/>
    </row>
    <row r="98" spans="1:14" ht="19.5" customHeight="1" x14ac:dyDescent="0.2">
      <c r="A98" s="133"/>
      <c r="B98" s="87" t="s">
        <v>245</v>
      </c>
      <c r="C98" s="132"/>
      <c r="D98" s="107">
        <v>18</v>
      </c>
      <c r="F98" s="137" t="s">
        <v>56</v>
      </c>
      <c r="H98" s="72"/>
      <c r="I98" s="108"/>
      <c r="J98" s="70">
        <f t="shared" si="0"/>
        <v>0</v>
      </c>
      <c r="K98" s="99"/>
      <c r="L98" s="99"/>
      <c r="M98" s="142"/>
      <c r="N98" s="142"/>
    </row>
    <row r="99" spans="1:14" ht="19.5" customHeight="1" x14ac:dyDescent="0.2">
      <c r="A99" s="133"/>
      <c r="B99" s="87" t="s">
        <v>246</v>
      </c>
      <c r="C99" s="132"/>
      <c r="D99" s="107">
        <v>12</v>
      </c>
      <c r="F99" s="137" t="s">
        <v>56</v>
      </c>
      <c r="H99" s="72"/>
      <c r="I99" s="108"/>
      <c r="J99" s="70">
        <f t="shared" si="0"/>
        <v>0</v>
      </c>
      <c r="K99" s="99"/>
      <c r="L99" s="99"/>
      <c r="M99" s="142"/>
      <c r="N99" s="142"/>
    </row>
    <row r="100" spans="1:14" ht="19.5" customHeight="1" x14ac:dyDescent="0.25">
      <c r="A100" s="180" t="s">
        <v>226</v>
      </c>
      <c r="B100" s="87" t="s">
        <v>228</v>
      </c>
      <c r="C100" s="132"/>
      <c r="D100" s="107">
        <v>22</v>
      </c>
      <c r="F100" s="137" t="s">
        <v>229</v>
      </c>
      <c r="H100" s="72"/>
      <c r="I100" s="108"/>
      <c r="J100" s="70">
        <f t="shared" si="0"/>
        <v>0</v>
      </c>
      <c r="K100" s="99"/>
      <c r="L100" s="99"/>
      <c r="M100" s="142"/>
      <c r="N100" s="142"/>
    </row>
    <row r="101" spans="1:14" ht="19.5" customHeight="1" x14ac:dyDescent="0.2">
      <c r="A101" s="180" t="s">
        <v>227</v>
      </c>
      <c r="B101" s="87" t="s">
        <v>158</v>
      </c>
      <c r="C101" s="132"/>
      <c r="D101" s="107">
        <v>215</v>
      </c>
      <c r="F101" s="137" t="s">
        <v>56</v>
      </c>
      <c r="H101" s="72"/>
      <c r="I101" s="108"/>
      <c r="J101" s="70">
        <f>H101*D101</f>
        <v>0</v>
      </c>
      <c r="K101" s="99"/>
      <c r="L101" s="99"/>
      <c r="M101" s="142"/>
      <c r="N101" s="142"/>
    </row>
    <row r="102" spans="1:14" ht="19.5" customHeight="1" x14ac:dyDescent="0.2">
      <c r="A102" s="180" t="s">
        <v>251</v>
      </c>
      <c r="B102" s="87" t="s">
        <v>252</v>
      </c>
      <c r="C102" s="132"/>
      <c r="D102" s="186"/>
      <c r="E102" s="177"/>
      <c r="F102" s="137"/>
      <c r="G102" s="177"/>
      <c r="H102" s="187"/>
      <c r="I102" s="177"/>
      <c r="J102" s="187"/>
      <c r="K102" s="99"/>
      <c r="L102" s="99"/>
      <c r="M102" s="142"/>
      <c r="N102" s="142"/>
    </row>
    <row r="103" spans="1:14" ht="19.5" customHeight="1" x14ac:dyDescent="0.2">
      <c r="A103" s="180"/>
      <c r="C103" s="132" t="s">
        <v>253</v>
      </c>
      <c r="D103" s="188">
        <v>5</v>
      </c>
      <c r="E103" s="177"/>
      <c r="F103" s="137" t="s">
        <v>90</v>
      </c>
      <c r="G103" s="177"/>
      <c r="H103" s="72"/>
      <c r="I103" s="177"/>
      <c r="J103" s="71">
        <f>H103*D103</f>
        <v>0</v>
      </c>
      <c r="K103" s="99"/>
      <c r="L103" s="99"/>
      <c r="M103" s="142"/>
      <c r="N103" s="142"/>
    </row>
    <row r="104" spans="1:14" ht="19.5" customHeight="1" x14ac:dyDescent="0.2">
      <c r="A104" s="180"/>
      <c r="C104" s="132" t="s">
        <v>254</v>
      </c>
      <c r="D104" s="188">
        <v>5</v>
      </c>
      <c r="E104" s="177"/>
      <c r="F104" s="137" t="s">
        <v>90</v>
      </c>
      <c r="G104" s="177"/>
      <c r="H104" s="72"/>
      <c r="I104" s="177"/>
      <c r="J104" s="71">
        <f>H104*D104</f>
        <v>0</v>
      </c>
      <c r="K104" s="99"/>
      <c r="L104" s="99"/>
      <c r="M104" s="142"/>
      <c r="N104" s="142"/>
    </row>
    <row r="105" spans="1:14" ht="19.5" customHeight="1" x14ac:dyDescent="0.2">
      <c r="A105" s="180" t="s">
        <v>255</v>
      </c>
      <c r="B105" s="87" t="s">
        <v>256</v>
      </c>
      <c r="C105" s="132"/>
      <c r="D105" s="186"/>
      <c r="E105" s="177"/>
      <c r="F105" s="137"/>
      <c r="G105" s="177"/>
      <c r="H105" s="99"/>
      <c r="I105" s="177"/>
      <c r="J105" s="187"/>
      <c r="K105" s="99"/>
      <c r="L105" s="99"/>
      <c r="M105" s="142"/>
      <c r="N105" s="142"/>
    </row>
    <row r="106" spans="1:14" ht="19.5" customHeight="1" x14ac:dyDescent="0.2">
      <c r="A106" s="180"/>
      <c r="C106" s="132" t="s">
        <v>257</v>
      </c>
      <c r="D106" s="188">
        <v>5</v>
      </c>
      <c r="E106" s="177"/>
      <c r="F106" s="137" t="s">
        <v>90</v>
      </c>
      <c r="G106" s="177"/>
      <c r="H106" s="72"/>
      <c r="I106" s="177"/>
      <c r="J106" s="71">
        <f>H106*D106</f>
        <v>0</v>
      </c>
      <c r="K106" s="99"/>
      <c r="L106" s="99"/>
      <c r="M106" s="142"/>
      <c r="N106" s="142"/>
    </row>
    <row r="107" spans="1:14" ht="19.5" customHeight="1" x14ac:dyDescent="0.2">
      <c r="A107" s="180"/>
      <c r="C107" s="132" t="s">
        <v>258</v>
      </c>
      <c r="D107" s="188">
        <v>5</v>
      </c>
      <c r="E107" s="177"/>
      <c r="F107" s="137" t="s">
        <v>90</v>
      </c>
      <c r="G107" s="177"/>
      <c r="H107" s="72"/>
      <c r="I107" s="177"/>
      <c r="J107" s="71">
        <f>H107*D107</f>
        <v>0</v>
      </c>
      <c r="K107" s="99"/>
      <c r="L107" s="99"/>
      <c r="M107" s="142"/>
      <c r="N107" s="142"/>
    </row>
    <row r="108" spans="1:14" ht="19.5" customHeight="1" x14ac:dyDescent="0.2">
      <c r="A108" s="180"/>
      <c r="C108" s="132" t="s">
        <v>259</v>
      </c>
      <c r="D108" s="188">
        <v>20</v>
      </c>
      <c r="E108" s="177"/>
      <c r="F108" s="137" t="s">
        <v>90</v>
      </c>
      <c r="G108" s="177"/>
      <c r="H108" s="72"/>
      <c r="I108" s="177"/>
      <c r="J108" s="71">
        <f>H108*D108</f>
        <v>0</v>
      </c>
      <c r="K108" s="99"/>
      <c r="L108" s="99"/>
      <c r="M108" s="142"/>
      <c r="N108" s="142"/>
    </row>
    <row r="109" spans="1:14" ht="19.5" customHeight="1" x14ac:dyDescent="0.2">
      <c r="A109" s="180" t="s">
        <v>260</v>
      </c>
      <c r="B109" s="87" t="s">
        <v>261</v>
      </c>
      <c r="C109" s="132"/>
      <c r="D109" s="188">
        <v>15</v>
      </c>
      <c r="E109" s="177"/>
      <c r="F109" s="137" t="s">
        <v>90</v>
      </c>
      <c r="G109" s="177"/>
      <c r="H109" s="72"/>
      <c r="I109" s="177"/>
      <c r="J109" s="71">
        <f>H109*D109</f>
        <v>0</v>
      </c>
      <c r="K109" s="99"/>
      <c r="L109" s="99"/>
      <c r="N109" s="142"/>
    </row>
    <row r="110" spans="1:14" ht="19.5" customHeight="1" x14ac:dyDescent="0.2">
      <c r="A110" s="180"/>
      <c r="C110" s="132"/>
      <c r="D110" s="186"/>
      <c r="E110" s="177"/>
      <c r="F110" s="137"/>
      <c r="G110" s="177"/>
      <c r="H110" s="187"/>
      <c r="I110" s="177"/>
      <c r="J110" s="187"/>
      <c r="K110" s="99"/>
      <c r="L110" s="99"/>
      <c r="N110" s="142"/>
    </row>
    <row r="111" spans="1:14" ht="19.5" customHeight="1" thickBot="1" x14ac:dyDescent="0.25">
      <c r="A111" s="133"/>
      <c r="C111" s="132"/>
      <c r="D111" s="116"/>
      <c r="F111" s="179"/>
      <c r="G111" s="128"/>
      <c r="H111" s="129" t="s">
        <v>212</v>
      </c>
      <c r="I111" s="128"/>
      <c r="J111" s="199">
        <f>SUM(J93:J109)</f>
        <v>0</v>
      </c>
      <c r="K111" s="199"/>
      <c r="L111" s="99"/>
      <c r="N111" s="142"/>
    </row>
    <row r="112" spans="1:14" ht="19.5" customHeight="1" x14ac:dyDescent="0.2">
      <c r="A112" s="133"/>
      <c r="C112" s="132"/>
      <c r="D112" s="99"/>
      <c r="E112" s="99"/>
      <c r="F112" s="99"/>
      <c r="G112" s="99"/>
      <c r="H112" s="99"/>
      <c r="I112" s="99"/>
      <c r="J112" s="99"/>
      <c r="K112" s="99"/>
      <c r="L112" s="99"/>
      <c r="N112" s="142"/>
    </row>
    <row r="113" spans="1:14" ht="19.5" customHeight="1" x14ac:dyDescent="0.2">
      <c r="A113" s="88" t="s">
        <v>57</v>
      </c>
      <c r="B113" s="89" t="s">
        <v>58</v>
      </c>
      <c r="C113" s="81"/>
      <c r="D113" s="99"/>
      <c r="E113" s="99"/>
      <c r="F113" s="99"/>
      <c r="G113" s="99"/>
      <c r="H113" s="99"/>
      <c r="I113" s="99"/>
      <c r="J113" s="136"/>
      <c r="K113" s="99"/>
      <c r="L113" s="99"/>
      <c r="N113" s="142"/>
    </row>
    <row r="114" spans="1:14" ht="19.5" customHeight="1" x14ac:dyDescent="0.2">
      <c r="A114" s="145" t="s">
        <v>59</v>
      </c>
      <c r="B114" s="146" t="s">
        <v>230</v>
      </c>
      <c r="C114" s="147"/>
      <c r="D114" s="148"/>
      <c r="E114" s="149"/>
      <c r="F114" s="150"/>
      <c r="G114" s="151"/>
      <c r="H114" s="152"/>
      <c r="I114" s="151"/>
      <c r="J114" s="153"/>
      <c r="L114" s="99"/>
      <c r="N114" s="142"/>
    </row>
    <row r="115" spans="1:14" ht="19.5" customHeight="1" x14ac:dyDescent="0.2">
      <c r="A115" s="154" t="s">
        <v>108</v>
      </c>
      <c r="B115" s="146"/>
      <c r="C115" s="155" t="s">
        <v>97</v>
      </c>
      <c r="D115" s="148"/>
      <c r="E115" s="149"/>
      <c r="F115" s="150"/>
      <c r="G115" s="151"/>
      <c r="H115" s="152"/>
      <c r="I115" s="151"/>
      <c r="J115" s="153"/>
      <c r="L115" s="99"/>
      <c r="N115" s="142"/>
    </row>
    <row r="116" spans="1:14" ht="19.5" customHeight="1" x14ac:dyDescent="0.2">
      <c r="A116" s="156"/>
      <c r="B116" s="157"/>
      <c r="C116" s="157" t="s">
        <v>148</v>
      </c>
      <c r="D116" s="158">
        <v>58</v>
      </c>
      <c r="E116" s="151"/>
      <c r="F116" s="109" t="s">
        <v>29</v>
      </c>
      <c r="G116" s="151"/>
      <c r="H116" s="72"/>
      <c r="I116" s="151"/>
      <c r="J116" s="159">
        <f t="shared" ref="J116:J121" si="1">H116*D116</f>
        <v>0</v>
      </c>
      <c r="L116" s="99"/>
      <c r="M116" s="142"/>
      <c r="N116" s="142"/>
    </row>
    <row r="117" spans="1:14" ht="19.5" customHeight="1" x14ac:dyDescent="0.2">
      <c r="A117" s="156"/>
      <c r="B117" s="157"/>
      <c r="C117" s="157" t="s">
        <v>149</v>
      </c>
      <c r="D117" s="158">
        <v>54</v>
      </c>
      <c r="E117" s="151"/>
      <c r="F117" s="109" t="s">
        <v>29</v>
      </c>
      <c r="G117" s="151"/>
      <c r="H117" s="72"/>
      <c r="I117" s="151"/>
      <c r="J117" s="159">
        <f t="shared" si="1"/>
        <v>0</v>
      </c>
      <c r="L117" s="99"/>
      <c r="M117" s="142"/>
      <c r="N117" s="142"/>
    </row>
    <row r="118" spans="1:14" ht="19.5" customHeight="1" x14ac:dyDescent="0.2">
      <c r="A118" s="156"/>
      <c r="B118" s="157"/>
      <c r="C118" s="157" t="s">
        <v>150</v>
      </c>
      <c r="D118" s="158">
        <v>379</v>
      </c>
      <c r="E118" s="151"/>
      <c r="F118" s="109" t="s">
        <v>29</v>
      </c>
      <c r="G118" s="151"/>
      <c r="H118" s="72"/>
      <c r="I118" s="151"/>
      <c r="J118" s="159">
        <f t="shared" si="1"/>
        <v>0</v>
      </c>
      <c r="L118" s="99"/>
      <c r="M118" s="142"/>
      <c r="N118" s="142"/>
    </row>
    <row r="119" spans="1:14" ht="19.5" customHeight="1" x14ac:dyDescent="0.2">
      <c r="A119" s="156"/>
      <c r="B119" s="157"/>
      <c r="C119" s="157" t="s">
        <v>151</v>
      </c>
      <c r="D119" s="158">
        <v>149</v>
      </c>
      <c r="E119" s="151"/>
      <c r="F119" s="109" t="s">
        <v>29</v>
      </c>
      <c r="G119" s="151"/>
      <c r="H119" s="72"/>
      <c r="I119" s="151"/>
      <c r="J119" s="159">
        <f t="shared" si="1"/>
        <v>0</v>
      </c>
      <c r="L119" s="99"/>
      <c r="M119" s="142"/>
      <c r="N119" s="142"/>
    </row>
    <row r="120" spans="1:14" ht="19.5" customHeight="1" x14ac:dyDescent="0.2">
      <c r="A120" s="156" t="s">
        <v>109</v>
      </c>
      <c r="B120" s="157"/>
      <c r="C120" s="157" t="s">
        <v>231</v>
      </c>
      <c r="D120" s="158">
        <v>640</v>
      </c>
      <c r="E120" s="151"/>
      <c r="F120" s="109" t="s">
        <v>29</v>
      </c>
      <c r="G120" s="151"/>
      <c r="H120" s="72"/>
      <c r="I120" s="151"/>
      <c r="J120" s="159">
        <f t="shared" si="1"/>
        <v>0</v>
      </c>
      <c r="L120" s="99"/>
      <c r="M120" s="142"/>
      <c r="N120" s="142"/>
    </row>
    <row r="121" spans="1:14" ht="19.5" customHeight="1" x14ac:dyDescent="0.2">
      <c r="A121" s="156" t="s">
        <v>110</v>
      </c>
      <c r="B121" s="157"/>
      <c r="C121" s="157" t="s">
        <v>111</v>
      </c>
      <c r="D121" s="158">
        <v>3</v>
      </c>
      <c r="E121" s="151"/>
      <c r="F121" s="137" t="s">
        <v>90</v>
      </c>
      <c r="G121" s="151"/>
      <c r="H121" s="72"/>
      <c r="I121" s="151"/>
      <c r="J121" s="159">
        <f t="shared" si="1"/>
        <v>0</v>
      </c>
      <c r="L121" s="99"/>
      <c r="M121" s="142"/>
      <c r="N121" s="142"/>
    </row>
    <row r="122" spans="1:14" ht="19.5" customHeight="1" x14ac:dyDescent="0.2">
      <c r="A122" s="156"/>
      <c r="B122" s="157"/>
      <c r="C122" s="157"/>
      <c r="D122" s="153"/>
      <c r="E122" s="151"/>
      <c r="F122" s="137"/>
      <c r="G122" s="151"/>
      <c r="H122" s="152"/>
      <c r="I122" s="151"/>
      <c r="J122" s="151"/>
      <c r="L122" s="99"/>
      <c r="N122" s="142"/>
    </row>
    <row r="123" spans="1:14" ht="19.5" customHeight="1" thickBot="1" x14ac:dyDescent="0.3">
      <c r="A123" s="156"/>
      <c r="B123" s="157"/>
      <c r="C123" s="157"/>
      <c r="D123" s="153"/>
      <c r="H123" s="111" t="s">
        <v>60</v>
      </c>
      <c r="I123" s="108"/>
      <c r="J123" s="112">
        <f>SUM(J116:J121)</f>
        <v>0</v>
      </c>
      <c r="K123" s="108"/>
      <c r="L123" s="99"/>
      <c r="N123" s="142"/>
    </row>
    <row r="124" spans="1:14" ht="19.5" customHeight="1" x14ac:dyDescent="0.25">
      <c r="A124" s="156"/>
      <c r="B124" s="157"/>
      <c r="C124" s="157"/>
      <c r="D124" s="153"/>
      <c r="H124" s="111"/>
      <c r="I124" s="108"/>
      <c r="J124" s="93"/>
      <c r="K124" s="108"/>
      <c r="L124" s="99"/>
      <c r="N124" s="142"/>
    </row>
    <row r="125" spans="1:14" ht="19.5" customHeight="1" x14ac:dyDescent="0.25">
      <c r="A125" s="156"/>
      <c r="B125" s="157"/>
      <c r="C125" s="157"/>
      <c r="D125" s="153"/>
      <c r="H125" s="111"/>
      <c r="I125" s="108"/>
      <c r="J125" s="93"/>
      <c r="K125" s="108"/>
      <c r="L125" s="99"/>
      <c r="N125" s="142"/>
    </row>
    <row r="126" spans="1:14" ht="19.5" customHeight="1" x14ac:dyDescent="0.2">
      <c r="A126" s="145" t="s">
        <v>61</v>
      </c>
      <c r="B126" s="146" t="s">
        <v>232</v>
      </c>
      <c r="C126" s="147"/>
      <c r="D126" s="148"/>
      <c r="E126" s="149"/>
      <c r="F126" s="150"/>
      <c r="G126" s="151"/>
      <c r="H126" s="152"/>
      <c r="I126" s="151"/>
      <c r="J126" s="153"/>
      <c r="L126" s="99"/>
      <c r="N126" s="142"/>
    </row>
    <row r="127" spans="1:14" ht="19.5" customHeight="1" x14ac:dyDescent="0.2">
      <c r="A127" s="145" t="s">
        <v>85</v>
      </c>
      <c r="B127" s="146" t="s">
        <v>86</v>
      </c>
      <c r="C127" s="147"/>
      <c r="D127" s="148"/>
      <c r="E127" s="149"/>
      <c r="F127" s="150"/>
      <c r="G127" s="151"/>
      <c r="H127" s="152"/>
      <c r="I127" s="151"/>
      <c r="J127" s="153"/>
      <c r="L127" s="99"/>
      <c r="N127" s="142"/>
    </row>
    <row r="128" spans="1:14" ht="19.5" customHeight="1" x14ac:dyDescent="0.2">
      <c r="A128" s="145"/>
      <c r="B128" s="146"/>
      <c r="C128" s="157" t="s">
        <v>160</v>
      </c>
      <c r="D128" s="158">
        <v>264</v>
      </c>
      <c r="E128" s="151"/>
      <c r="F128" s="137" t="s">
        <v>9</v>
      </c>
      <c r="G128" s="151"/>
      <c r="H128" s="72"/>
      <c r="I128" s="151"/>
      <c r="J128" s="159">
        <f>H128*D128</f>
        <v>0</v>
      </c>
      <c r="L128" s="99"/>
      <c r="M128" s="142"/>
      <c r="N128" s="142"/>
    </row>
    <row r="129" spans="1:14" ht="19.5" customHeight="1" x14ac:dyDescent="0.2">
      <c r="A129" s="145"/>
      <c r="B129" s="146"/>
      <c r="C129" s="157" t="s">
        <v>161</v>
      </c>
      <c r="D129" s="158">
        <v>147</v>
      </c>
      <c r="E129" s="151"/>
      <c r="F129" s="137" t="s">
        <v>9</v>
      </c>
      <c r="G129" s="151"/>
      <c r="H129" s="72"/>
      <c r="I129" s="151"/>
      <c r="J129" s="159">
        <f>H129*D129</f>
        <v>0</v>
      </c>
      <c r="L129" s="99"/>
      <c r="M129" s="142"/>
      <c r="N129" s="142"/>
    </row>
    <row r="130" spans="1:14" ht="19.5" customHeight="1" x14ac:dyDescent="0.2">
      <c r="A130" s="145" t="s">
        <v>163</v>
      </c>
      <c r="B130" s="146" t="s">
        <v>164</v>
      </c>
      <c r="C130" s="157"/>
      <c r="D130" s="160"/>
      <c r="E130" s="151"/>
      <c r="F130" s="137"/>
      <c r="G130" s="151"/>
      <c r="H130" s="165"/>
      <c r="I130" s="151"/>
      <c r="J130" s="161"/>
      <c r="L130" s="99"/>
      <c r="N130" s="142"/>
    </row>
    <row r="131" spans="1:14" ht="19.5" customHeight="1" x14ac:dyDescent="0.2">
      <c r="A131" s="145"/>
      <c r="B131" s="146"/>
      <c r="C131" s="157" t="s">
        <v>162</v>
      </c>
      <c r="D131" s="158">
        <v>217</v>
      </c>
      <c r="E131" s="151"/>
      <c r="F131" s="137" t="s">
        <v>9</v>
      </c>
      <c r="G131" s="151"/>
      <c r="H131" s="72"/>
      <c r="I131" s="151"/>
      <c r="J131" s="159">
        <f>H131*D131</f>
        <v>0</v>
      </c>
      <c r="L131" s="99"/>
      <c r="M131" s="142"/>
      <c r="N131" s="142"/>
    </row>
    <row r="132" spans="1:14" ht="19.5" customHeight="1" x14ac:dyDescent="0.2">
      <c r="A132" s="145"/>
      <c r="B132" s="146"/>
      <c r="C132" s="157" t="s">
        <v>199</v>
      </c>
      <c r="D132" s="158">
        <v>30</v>
      </c>
      <c r="E132" s="151"/>
      <c r="F132" s="137" t="s">
        <v>90</v>
      </c>
      <c r="G132" s="151"/>
      <c r="H132" s="72"/>
      <c r="I132" s="151"/>
      <c r="J132" s="159">
        <f>H132*D132</f>
        <v>0</v>
      </c>
      <c r="L132" s="99"/>
      <c r="M132" s="142"/>
      <c r="N132" s="142"/>
    </row>
    <row r="133" spans="1:14" ht="19.5" customHeight="1" x14ac:dyDescent="0.2">
      <c r="A133" s="145" t="s">
        <v>233</v>
      </c>
      <c r="B133" s="146" t="s">
        <v>87</v>
      </c>
      <c r="C133" s="147"/>
      <c r="D133" s="148"/>
      <c r="E133" s="149"/>
      <c r="F133" s="150"/>
      <c r="G133" s="151"/>
      <c r="H133" s="152"/>
      <c r="I133" s="151"/>
      <c r="J133" s="153"/>
      <c r="L133" s="99"/>
      <c r="N133" s="142"/>
    </row>
    <row r="134" spans="1:14" ht="19.5" customHeight="1" x14ac:dyDescent="0.2">
      <c r="A134" s="145"/>
      <c r="B134" s="146"/>
      <c r="C134" s="157" t="s">
        <v>160</v>
      </c>
      <c r="D134" s="158">
        <v>4</v>
      </c>
      <c r="E134" s="151"/>
      <c r="F134" s="137" t="s">
        <v>90</v>
      </c>
      <c r="G134" s="151"/>
      <c r="H134" s="72"/>
      <c r="I134" s="151"/>
      <c r="J134" s="159">
        <f>H134*D134</f>
        <v>0</v>
      </c>
      <c r="L134" s="99"/>
      <c r="M134" s="142"/>
      <c r="N134" s="142"/>
    </row>
    <row r="135" spans="1:14" ht="19.5" customHeight="1" x14ac:dyDescent="0.2">
      <c r="A135" s="145"/>
      <c r="B135" s="146"/>
      <c r="C135" s="157" t="s">
        <v>166</v>
      </c>
      <c r="D135" s="158">
        <v>30</v>
      </c>
      <c r="E135" s="151"/>
      <c r="F135" s="137" t="s">
        <v>90</v>
      </c>
      <c r="G135" s="151"/>
      <c r="H135" s="72"/>
      <c r="I135" s="151"/>
      <c r="J135" s="159">
        <f>H135*D135</f>
        <v>0</v>
      </c>
      <c r="L135" s="99"/>
      <c r="M135" s="142"/>
      <c r="N135" s="142"/>
    </row>
    <row r="136" spans="1:14" ht="19.5" customHeight="1" x14ac:dyDescent="0.2">
      <c r="A136" s="145" t="s">
        <v>165</v>
      </c>
      <c r="B136" s="146" t="s">
        <v>88</v>
      </c>
      <c r="C136" s="147"/>
      <c r="D136" s="148"/>
      <c r="E136" s="149"/>
      <c r="F136" s="150"/>
      <c r="G136" s="151"/>
      <c r="H136" s="152"/>
      <c r="I136" s="151"/>
      <c r="J136" s="153"/>
      <c r="L136" s="99"/>
      <c r="N136" s="142"/>
    </row>
    <row r="137" spans="1:14" ht="19.5" customHeight="1" x14ac:dyDescent="0.2">
      <c r="A137" s="145"/>
      <c r="B137" s="146"/>
      <c r="C137" s="157" t="s">
        <v>167</v>
      </c>
      <c r="D137" s="158">
        <v>1</v>
      </c>
      <c r="E137" s="151"/>
      <c r="F137" s="137" t="s">
        <v>90</v>
      </c>
      <c r="G137" s="151"/>
      <c r="H137" s="72"/>
      <c r="I137" s="151"/>
      <c r="J137" s="159">
        <f>H137*D137</f>
        <v>0</v>
      </c>
      <c r="L137" s="99"/>
      <c r="M137" s="142"/>
      <c r="N137" s="142"/>
    </row>
    <row r="138" spans="1:14" ht="19.5" customHeight="1" x14ac:dyDescent="0.2">
      <c r="A138" s="145" t="s">
        <v>234</v>
      </c>
      <c r="B138" s="146" t="s">
        <v>89</v>
      </c>
      <c r="C138" s="147"/>
      <c r="D138" s="158">
        <v>14</v>
      </c>
      <c r="E138" s="151"/>
      <c r="F138" s="137" t="s">
        <v>56</v>
      </c>
      <c r="G138" s="151"/>
      <c r="H138" s="72"/>
      <c r="I138" s="151"/>
      <c r="J138" s="159">
        <f>H138*D138</f>
        <v>0</v>
      </c>
      <c r="L138" s="99"/>
      <c r="M138" s="142"/>
      <c r="N138" s="142"/>
    </row>
    <row r="139" spans="1:14" ht="19.5" customHeight="1" x14ac:dyDescent="0.2">
      <c r="A139" s="145" t="s">
        <v>112</v>
      </c>
      <c r="B139" s="146" t="s">
        <v>113</v>
      </c>
      <c r="C139" s="157"/>
      <c r="D139"/>
      <c r="E139"/>
      <c r="F139"/>
      <c r="G139"/>
      <c r="H139"/>
      <c r="I139"/>
      <c r="J139"/>
      <c r="L139" s="99"/>
      <c r="N139" s="142"/>
    </row>
    <row r="140" spans="1:14" ht="19.5" customHeight="1" x14ac:dyDescent="0.2">
      <c r="A140" s="145"/>
      <c r="B140" s="73"/>
      <c r="C140" s="157" t="s">
        <v>168</v>
      </c>
      <c r="D140" s="158">
        <v>191</v>
      </c>
      <c r="E140" s="151"/>
      <c r="F140" s="137" t="s">
        <v>9</v>
      </c>
      <c r="G140" s="151"/>
      <c r="H140" s="72"/>
      <c r="I140" s="151"/>
      <c r="J140" s="159">
        <f>H140*D140</f>
        <v>0</v>
      </c>
      <c r="L140" s="99"/>
      <c r="M140" s="142"/>
      <c r="N140" s="142"/>
    </row>
    <row r="141" spans="1:14" ht="19.5" customHeight="1" x14ac:dyDescent="0.2">
      <c r="A141" s="145" t="s">
        <v>114</v>
      </c>
      <c r="B141" s="157"/>
      <c r="C141" s="157" t="s">
        <v>200</v>
      </c>
      <c r="D141" s="158">
        <v>32</v>
      </c>
      <c r="E141" s="151"/>
      <c r="F141" s="137" t="s">
        <v>90</v>
      </c>
      <c r="G141" s="151"/>
      <c r="H141" s="72"/>
      <c r="I141" s="151"/>
      <c r="J141" s="159">
        <f>H141*D141</f>
        <v>0</v>
      </c>
      <c r="L141" s="99"/>
      <c r="M141" s="142"/>
      <c r="N141" s="142"/>
    </row>
    <row r="142" spans="1:14" ht="19.5" customHeight="1" x14ac:dyDescent="0.2">
      <c r="A142" s="145"/>
      <c r="B142" s="157"/>
      <c r="C142" s="157"/>
      <c r="D142" s="160"/>
      <c r="E142" s="151"/>
      <c r="F142" s="137"/>
      <c r="G142" s="151"/>
      <c r="H142" s="165"/>
      <c r="I142" s="151"/>
      <c r="J142" s="161"/>
      <c r="L142" s="99"/>
      <c r="M142" s="142"/>
      <c r="N142" s="142"/>
    </row>
    <row r="143" spans="1:14" ht="19.5" customHeight="1" thickBot="1" x14ac:dyDescent="0.3">
      <c r="A143" s="156"/>
      <c r="B143" s="157"/>
      <c r="C143" s="157"/>
      <c r="D143" s="153"/>
      <c r="H143" s="111" t="s">
        <v>62</v>
      </c>
      <c r="I143" s="108"/>
      <c r="J143" s="112">
        <f>SUM(J128:J142)</f>
        <v>0</v>
      </c>
      <c r="K143" s="108"/>
      <c r="L143" s="99"/>
      <c r="N143" s="142"/>
    </row>
    <row r="144" spans="1:14" ht="19.5" customHeight="1" x14ac:dyDescent="0.25">
      <c r="A144" s="156"/>
      <c r="B144" s="157"/>
      <c r="C144" s="157"/>
      <c r="D144" s="153"/>
      <c r="H144" s="111"/>
      <c r="I144" s="108"/>
      <c r="J144" s="93"/>
      <c r="K144" s="108"/>
      <c r="L144" s="99"/>
      <c r="N144" s="142"/>
    </row>
    <row r="145" spans="1:14" ht="19.5" customHeight="1" x14ac:dyDescent="0.2">
      <c r="A145" s="156"/>
      <c r="B145" s="157"/>
      <c r="C145" s="157"/>
      <c r="D145" s="153"/>
      <c r="E145" s="151"/>
      <c r="F145" s="137"/>
      <c r="G145" s="151"/>
      <c r="H145" s="152"/>
      <c r="I145" s="151"/>
      <c r="J145" s="151"/>
      <c r="L145" s="99"/>
      <c r="N145" s="142"/>
    </row>
    <row r="146" spans="1:14" ht="19.5" customHeight="1" x14ac:dyDescent="0.2">
      <c r="A146" s="145" t="s">
        <v>68</v>
      </c>
      <c r="B146" s="146" t="s">
        <v>81</v>
      </c>
      <c r="C146" s="147"/>
      <c r="D146" s="148"/>
      <c r="E146" s="149"/>
      <c r="F146" s="150"/>
      <c r="G146" s="151"/>
      <c r="H146" s="152"/>
      <c r="I146" s="151"/>
      <c r="J146" s="153"/>
      <c r="L146" s="99"/>
      <c r="N146" s="142"/>
    </row>
    <row r="147" spans="1:14" ht="19.5" customHeight="1" x14ac:dyDescent="0.2">
      <c r="A147" s="145" t="s">
        <v>93</v>
      </c>
      <c r="B147" s="146" t="s">
        <v>203</v>
      </c>
      <c r="C147" s="147"/>
      <c r="D147" s="148"/>
      <c r="E147" s="149"/>
      <c r="F147" s="150"/>
      <c r="G147" s="151"/>
      <c r="H147" s="152"/>
      <c r="I147" s="151"/>
      <c r="J147" s="153"/>
      <c r="L147" s="99"/>
      <c r="N147" s="142"/>
    </row>
    <row r="148" spans="1:14" ht="19.5" customHeight="1" x14ac:dyDescent="0.2">
      <c r="A148" s="145"/>
      <c r="B148" s="146"/>
      <c r="C148" s="157" t="s">
        <v>204</v>
      </c>
      <c r="D148" s="158">
        <v>3</v>
      </c>
      <c r="E148" s="151"/>
      <c r="F148" s="137" t="s">
        <v>9</v>
      </c>
      <c r="G148" s="151"/>
      <c r="H148" s="72"/>
      <c r="I148" s="151"/>
      <c r="J148" s="159">
        <f>H148*D148</f>
        <v>0</v>
      </c>
      <c r="L148" s="99"/>
      <c r="M148" s="142"/>
      <c r="N148" s="142"/>
    </row>
    <row r="149" spans="1:14" ht="19.5" customHeight="1" x14ac:dyDescent="0.2">
      <c r="A149" s="145" t="s">
        <v>96</v>
      </c>
      <c r="B149" s="146" t="s">
        <v>205</v>
      </c>
      <c r="C149" s="147"/>
      <c r="D149" s="148"/>
      <c r="E149" s="149"/>
      <c r="F149" s="150"/>
      <c r="G149" s="151"/>
      <c r="H149" s="152"/>
      <c r="I149" s="151"/>
      <c r="J149" s="153"/>
      <c r="L149" s="99"/>
      <c r="N149" s="142"/>
    </row>
    <row r="150" spans="1:14" ht="19.5" customHeight="1" x14ac:dyDescent="0.2">
      <c r="A150" s="145"/>
      <c r="B150" s="146"/>
      <c r="C150" s="157" t="s">
        <v>206</v>
      </c>
      <c r="D150" s="158">
        <v>435</v>
      </c>
      <c r="E150" s="151"/>
      <c r="F150" s="137" t="s">
        <v>9</v>
      </c>
      <c r="G150" s="151"/>
      <c r="H150" s="72"/>
      <c r="I150" s="151"/>
      <c r="J150" s="159">
        <f>H150*D150</f>
        <v>0</v>
      </c>
      <c r="L150" s="99"/>
      <c r="M150" s="142"/>
      <c r="N150" s="142"/>
    </row>
    <row r="151" spans="1:14" ht="19.5" customHeight="1" x14ac:dyDescent="0.2">
      <c r="A151" s="145"/>
      <c r="B151" s="146"/>
      <c r="C151" s="157" t="s">
        <v>207</v>
      </c>
      <c r="D151" s="158">
        <v>285</v>
      </c>
      <c r="E151" s="151"/>
      <c r="F151" s="137" t="s">
        <v>9</v>
      </c>
      <c r="G151" s="151"/>
      <c r="H151" s="72"/>
      <c r="I151" s="151"/>
      <c r="J151" s="159">
        <f t="shared" ref="J151:J152" si="2">H151*D151</f>
        <v>0</v>
      </c>
      <c r="L151" s="99"/>
      <c r="M151" s="142"/>
      <c r="N151" s="142"/>
    </row>
    <row r="152" spans="1:14" ht="19.5" customHeight="1" x14ac:dyDescent="0.2">
      <c r="A152" s="145"/>
      <c r="B152" s="146"/>
      <c r="C152" s="157" t="s">
        <v>208</v>
      </c>
      <c r="D152" s="158">
        <v>285</v>
      </c>
      <c r="E152" s="151"/>
      <c r="F152" s="137" t="s">
        <v>9</v>
      </c>
      <c r="G152" s="151"/>
      <c r="H152" s="72"/>
      <c r="I152" s="151"/>
      <c r="J152" s="159">
        <f t="shared" si="2"/>
        <v>0</v>
      </c>
      <c r="L152" s="99"/>
      <c r="M152" s="142"/>
      <c r="N152" s="142"/>
    </row>
    <row r="153" spans="1:14" ht="19.5" customHeight="1" x14ac:dyDescent="0.2">
      <c r="A153" s="145" t="s">
        <v>209</v>
      </c>
      <c r="B153" s="146"/>
      <c r="C153" s="146" t="s">
        <v>210</v>
      </c>
      <c r="D153" s="160"/>
      <c r="E153" s="151"/>
      <c r="F153" s="137"/>
      <c r="G153" s="151"/>
      <c r="H153" s="165"/>
      <c r="I153" s="151"/>
      <c r="J153" s="161"/>
      <c r="L153" s="99"/>
      <c r="N153" s="142"/>
    </row>
    <row r="154" spans="1:14" ht="19.5" customHeight="1" x14ac:dyDescent="0.2">
      <c r="A154" s="145"/>
      <c r="B154" s="146"/>
      <c r="C154" s="157" t="s">
        <v>95</v>
      </c>
      <c r="D154" s="158">
        <v>30</v>
      </c>
      <c r="E154" s="151"/>
      <c r="F154" s="137" t="s">
        <v>9</v>
      </c>
      <c r="G154" s="151"/>
      <c r="H154" s="72"/>
      <c r="I154" s="151"/>
      <c r="J154" s="159">
        <f t="shared" ref="J154" si="3">H154*D154</f>
        <v>0</v>
      </c>
      <c r="L154" s="99"/>
      <c r="M154" s="142"/>
      <c r="N154" s="142"/>
    </row>
    <row r="155" spans="1:14" ht="19.5" customHeight="1" x14ac:dyDescent="0.2">
      <c r="A155" s="145"/>
      <c r="B155" s="146"/>
      <c r="C155" s="147"/>
      <c r="D155" s="148"/>
      <c r="E155" s="149"/>
      <c r="F155" s="150"/>
      <c r="G155" s="151"/>
      <c r="H155" s="152"/>
      <c r="I155" s="151"/>
      <c r="J155" s="153"/>
      <c r="L155" s="99"/>
      <c r="N155" s="142"/>
    </row>
    <row r="156" spans="1:14" ht="19.5" customHeight="1" thickBot="1" x14ac:dyDescent="0.3">
      <c r="A156" s="156"/>
      <c r="B156" s="157"/>
      <c r="C156" s="157"/>
      <c r="D156" s="153"/>
      <c r="H156" s="111" t="s">
        <v>70</v>
      </c>
      <c r="I156" s="108"/>
      <c r="J156" s="112">
        <f>SUM(J148:J155)</f>
        <v>0</v>
      </c>
      <c r="K156" s="108"/>
      <c r="L156" s="99"/>
      <c r="N156" s="142"/>
    </row>
    <row r="157" spans="1:14" ht="19.5" customHeight="1" x14ac:dyDescent="0.25">
      <c r="A157" s="156"/>
      <c r="B157" s="157"/>
      <c r="C157" s="157"/>
      <c r="D157" s="153"/>
      <c r="H157" s="111"/>
      <c r="I157" s="108"/>
      <c r="J157" s="93"/>
      <c r="K157" s="108"/>
      <c r="L157" s="99"/>
      <c r="N157" s="142"/>
    </row>
    <row r="158" spans="1:14" ht="19.5" customHeight="1" x14ac:dyDescent="0.25">
      <c r="A158" s="145" t="s">
        <v>153</v>
      </c>
      <c r="B158" s="146" t="s">
        <v>152</v>
      </c>
      <c r="C158" s="147"/>
      <c r="D158" s="153"/>
      <c r="H158" s="111"/>
      <c r="I158" s="108"/>
      <c r="J158" s="93"/>
      <c r="K158" s="108"/>
      <c r="L158" s="99"/>
      <c r="N158" s="142"/>
    </row>
    <row r="159" spans="1:14" ht="19.5" customHeight="1" x14ac:dyDescent="0.25">
      <c r="A159" s="145" t="s">
        <v>236</v>
      </c>
      <c r="B159" s="146" t="s">
        <v>235</v>
      </c>
      <c r="C159" s="147"/>
      <c r="D159" s="153"/>
      <c r="H159" s="111"/>
      <c r="I159" s="108"/>
      <c r="J159" s="93"/>
      <c r="K159" s="108"/>
      <c r="L159" s="99"/>
      <c r="N159" s="142"/>
    </row>
    <row r="160" spans="1:14" ht="19.5" customHeight="1" x14ac:dyDescent="0.2">
      <c r="A160" s="156"/>
      <c r="B160" s="157" t="s">
        <v>196</v>
      </c>
      <c r="C160" s="155"/>
      <c r="D160" s="158">
        <v>950</v>
      </c>
      <c r="E160" s="151"/>
      <c r="F160" s="137" t="s">
        <v>9</v>
      </c>
      <c r="G160" s="151"/>
      <c r="H160" s="72"/>
      <c r="I160" s="151"/>
      <c r="J160" s="159">
        <f>H160*D160</f>
        <v>0</v>
      </c>
      <c r="K160" s="108"/>
      <c r="L160" s="99"/>
      <c r="M160" s="142"/>
      <c r="N160" s="142"/>
    </row>
    <row r="161" spans="1:14" ht="19.5" customHeight="1" x14ac:dyDescent="0.25">
      <c r="A161" s="145" t="s">
        <v>237</v>
      </c>
      <c r="B161" s="146" t="s">
        <v>94</v>
      </c>
      <c r="C161" s="147"/>
      <c r="D161" s="153"/>
      <c r="H161" s="111"/>
      <c r="I161" s="108"/>
      <c r="J161" s="93"/>
      <c r="K161" s="108"/>
      <c r="L161" s="99"/>
      <c r="N161" s="142"/>
    </row>
    <row r="162" spans="1:14" ht="19.5" customHeight="1" x14ac:dyDescent="0.2">
      <c r="A162" s="156"/>
      <c r="B162" s="157" t="s">
        <v>197</v>
      </c>
      <c r="C162" s="155"/>
      <c r="D162" s="158">
        <v>40</v>
      </c>
      <c r="E162" s="151"/>
      <c r="F162" s="137" t="s">
        <v>9</v>
      </c>
      <c r="G162" s="151"/>
      <c r="H162" s="72"/>
      <c r="I162" s="151"/>
      <c r="J162" s="159">
        <f>H162*D162</f>
        <v>0</v>
      </c>
      <c r="K162" s="108"/>
      <c r="L162" s="99"/>
      <c r="M162" s="142"/>
      <c r="N162" s="142"/>
    </row>
    <row r="163" spans="1:14" ht="19.5" customHeight="1" x14ac:dyDescent="0.2">
      <c r="A163" s="156"/>
      <c r="B163" s="157" t="s">
        <v>198</v>
      </c>
      <c r="C163" s="155"/>
      <c r="D163" s="158">
        <v>12</v>
      </c>
      <c r="E163" s="151"/>
      <c r="F163" s="137" t="s">
        <v>9</v>
      </c>
      <c r="G163" s="151"/>
      <c r="H163" s="72"/>
      <c r="I163" s="151"/>
      <c r="J163" s="159">
        <f>H163*D163</f>
        <v>0</v>
      </c>
      <c r="K163" s="108"/>
      <c r="L163" s="99"/>
      <c r="M163" s="142"/>
      <c r="N163" s="142"/>
    </row>
    <row r="164" spans="1:14" ht="19.5" customHeight="1" x14ac:dyDescent="0.25">
      <c r="A164" s="156"/>
      <c r="B164" s="157"/>
      <c r="C164" s="157"/>
      <c r="D164" s="153"/>
      <c r="H164" s="111"/>
      <c r="I164" s="108"/>
      <c r="J164" s="93"/>
      <c r="K164" s="108"/>
      <c r="L164" s="99"/>
      <c r="N164" s="142"/>
    </row>
    <row r="165" spans="1:14" ht="19.5" customHeight="1" x14ac:dyDescent="0.25">
      <c r="A165" s="156"/>
      <c r="B165" s="157"/>
      <c r="C165" s="157"/>
      <c r="D165" s="153"/>
      <c r="H165" s="111"/>
      <c r="I165" s="108"/>
      <c r="J165" s="93"/>
      <c r="K165" s="108"/>
      <c r="L165" s="99"/>
      <c r="N165" s="142"/>
    </row>
    <row r="166" spans="1:14" ht="19.5" customHeight="1" thickBot="1" x14ac:dyDescent="0.3">
      <c r="A166" s="156"/>
      <c r="B166" s="157"/>
      <c r="C166" s="157"/>
      <c r="D166" s="153"/>
      <c r="H166" s="111" t="s">
        <v>191</v>
      </c>
      <c r="I166" s="108"/>
      <c r="J166" s="112">
        <f>SUM(J159:J165)</f>
        <v>0</v>
      </c>
      <c r="K166" s="108"/>
      <c r="L166" s="99"/>
      <c r="N166" s="142"/>
    </row>
    <row r="167" spans="1:14" ht="19.5" customHeight="1" x14ac:dyDescent="0.25">
      <c r="A167" s="156"/>
      <c r="B167" s="157"/>
      <c r="C167" s="157"/>
      <c r="D167" s="153"/>
      <c r="H167" s="111"/>
      <c r="I167" s="108"/>
      <c r="J167" s="93"/>
      <c r="K167" s="108"/>
      <c r="L167" s="99"/>
      <c r="N167" s="142"/>
    </row>
    <row r="168" spans="1:14" ht="19.5" customHeight="1" x14ac:dyDescent="0.2">
      <c r="A168" s="145" t="s">
        <v>69</v>
      </c>
      <c r="B168" s="146" t="s">
        <v>66</v>
      </c>
      <c r="C168" s="147"/>
      <c r="D168" s="153"/>
      <c r="E168" s="151"/>
      <c r="F168" s="137"/>
      <c r="G168" s="151"/>
      <c r="H168" s="162"/>
      <c r="I168" s="151"/>
      <c r="J168" s="153"/>
      <c r="L168" s="99"/>
      <c r="N168" s="142"/>
    </row>
    <row r="169" spans="1:14" ht="19.5" customHeight="1" x14ac:dyDescent="0.2">
      <c r="A169" s="156" t="s">
        <v>91</v>
      </c>
      <c r="B169" s="146"/>
      <c r="C169" s="163" t="s">
        <v>201</v>
      </c>
      <c r="D169" s="158">
        <v>400</v>
      </c>
      <c r="E169" s="151"/>
      <c r="F169" s="137" t="s">
        <v>9</v>
      </c>
      <c r="G169" s="151"/>
      <c r="H169" s="72"/>
      <c r="I169" s="151"/>
      <c r="J169" s="159">
        <f t="shared" ref="J169:J170" si="4">H169*D169</f>
        <v>0</v>
      </c>
      <c r="L169" s="99"/>
      <c r="M169" s="142"/>
    </row>
    <row r="170" spans="1:14" ht="19.5" customHeight="1" x14ac:dyDescent="0.2">
      <c r="A170" s="156" t="s">
        <v>92</v>
      </c>
      <c r="B170" s="146"/>
      <c r="C170" s="163" t="s">
        <v>202</v>
      </c>
      <c r="D170" s="158">
        <v>1400</v>
      </c>
      <c r="E170" s="151"/>
      <c r="F170" s="137" t="s">
        <v>9</v>
      </c>
      <c r="G170" s="151"/>
      <c r="H170" s="72"/>
      <c r="I170" s="151"/>
      <c r="J170" s="159">
        <f t="shared" si="4"/>
        <v>0</v>
      </c>
      <c r="L170" s="99"/>
      <c r="M170" s="142"/>
      <c r="N170" s="142"/>
    </row>
    <row r="171" spans="1:14" ht="19.5" customHeight="1" x14ac:dyDescent="0.2">
      <c r="A171" s="145"/>
      <c r="B171" s="146"/>
      <c r="C171" s="147"/>
      <c r="D171" s="153"/>
      <c r="E171" s="151"/>
      <c r="F171" s="137"/>
      <c r="G171" s="151"/>
      <c r="H171" s="162"/>
      <c r="I171" s="151"/>
      <c r="J171" s="153"/>
      <c r="L171" s="99"/>
      <c r="N171" s="142"/>
    </row>
    <row r="172" spans="1:14" ht="19.5" customHeight="1" thickBot="1" x14ac:dyDescent="0.3">
      <c r="A172" s="145"/>
      <c r="B172" s="146"/>
      <c r="C172" s="147"/>
      <c r="D172" s="153"/>
      <c r="H172" s="111" t="s">
        <v>71</v>
      </c>
      <c r="I172" s="108"/>
      <c r="J172" s="112">
        <f>SUM(J168:J171)</f>
        <v>0</v>
      </c>
      <c r="K172" s="108"/>
      <c r="L172" s="99"/>
      <c r="N172" s="142"/>
    </row>
    <row r="173" spans="1:14" ht="19.5" customHeight="1" x14ac:dyDescent="0.25">
      <c r="A173" s="145"/>
      <c r="B173" s="146"/>
      <c r="C173" s="147"/>
      <c r="D173" s="153"/>
      <c r="H173" s="111"/>
      <c r="I173" s="108"/>
      <c r="J173" s="93"/>
      <c r="K173" s="108"/>
      <c r="L173" s="99"/>
      <c r="N173" s="142"/>
    </row>
    <row r="174" spans="1:14" ht="19.5" customHeight="1" x14ac:dyDescent="0.2">
      <c r="A174" s="145" t="s">
        <v>83</v>
      </c>
      <c r="B174" s="146" t="s">
        <v>65</v>
      </c>
      <c r="C174" s="147"/>
      <c r="D174" s="148"/>
      <c r="E174" s="149"/>
      <c r="F174" s="150"/>
      <c r="G174" s="151"/>
      <c r="H174" s="152"/>
      <c r="I174" s="151"/>
      <c r="J174" s="153"/>
      <c r="L174" s="99"/>
      <c r="N174" s="142"/>
    </row>
    <row r="175" spans="1:14" ht="19.5" customHeight="1" x14ac:dyDescent="0.2">
      <c r="A175" s="166" t="s">
        <v>84</v>
      </c>
      <c r="B175" s="167" t="s">
        <v>238</v>
      </c>
      <c r="C175" s="167"/>
      <c r="D175" s="168">
        <v>16</v>
      </c>
      <c r="E175" s="169"/>
      <c r="F175" s="170" t="s">
        <v>9</v>
      </c>
      <c r="G175" s="169"/>
      <c r="H175" s="72"/>
      <c r="I175" s="169"/>
      <c r="J175" s="171">
        <f>H175*D175</f>
        <v>0</v>
      </c>
      <c r="L175" s="99"/>
      <c r="M175" s="142"/>
      <c r="N175" s="142"/>
    </row>
    <row r="176" spans="1:14" ht="19.5" customHeight="1" x14ac:dyDescent="0.2">
      <c r="A176" s="166" t="s">
        <v>179</v>
      </c>
      <c r="B176" s="167" t="s">
        <v>239</v>
      </c>
      <c r="C176" s="167"/>
      <c r="D176" s="172"/>
      <c r="E176" s="169"/>
      <c r="F176" s="170"/>
      <c r="G176" s="169"/>
      <c r="H176" s="173"/>
      <c r="I176" s="169"/>
      <c r="J176" s="169"/>
      <c r="L176" s="99"/>
      <c r="N176" s="142"/>
    </row>
    <row r="177" spans="1:14" ht="19.5" customHeight="1" x14ac:dyDescent="0.2">
      <c r="A177" s="166"/>
      <c r="B177" s="167"/>
      <c r="C177" s="167" t="s">
        <v>240</v>
      </c>
      <c r="D177" s="168">
        <v>315</v>
      </c>
      <c r="E177" s="169"/>
      <c r="F177" s="170" t="s">
        <v>9</v>
      </c>
      <c r="G177" s="169"/>
      <c r="H177" s="72"/>
      <c r="I177" s="169"/>
      <c r="J177" s="171">
        <f t="shared" ref="J177:J189" si="5">H177*D177</f>
        <v>0</v>
      </c>
      <c r="L177" s="99"/>
      <c r="M177" s="142"/>
      <c r="N177" s="142"/>
    </row>
    <row r="178" spans="1:14" ht="19.5" customHeight="1" x14ac:dyDescent="0.2">
      <c r="A178" s="166"/>
      <c r="B178" s="167"/>
      <c r="C178" s="167" t="s">
        <v>180</v>
      </c>
      <c r="D178" s="168">
        <v>3</v>
      </c>
      <c r="E178" s="169"/>
      <c r="F178" s="170" t="s">
        <v>13</v>
      </c>
      <c r="G178" s="169"/>
      <c r="H178" s="72"/>
      <c r="I178" s="169"/>
      <c r="J178" s="171">
        <f t="shared" ref="J178" si="6">H178*D178</f>
        <v>0</v>
      </c>
      <c r="L178" s="99"/>
      <c r="M178" s="142"/>
      <c r="N178" s="142"/>
    </row>
    <row r="179" spans="1:14" ht="19.5" customHeight="1" x14ac:dyDescent="0.2">
      <c r="A179" s="166" t="s">
        <v>181</v>
      </c>
      <c r="B179" s="167" t="s">
        <v>182</v>
      </c>
      <c r="C179" s="167"/>
      <c r="D179" s="172"/>
      <c r="E179" s="169"/>
      <c r="F179" s="170"/>
      <c r="G179" s="169"/>
      <c r="H179" s="173"/>
      <c r="I179" s="169"/>
      <c r="J179" s="169"/>
      <c r="L179" s="99"/>
      <c r="N179" s="142"/>
    </row>
    <row r="180" spans="1:14" ht="19.5" customHeight="1" x14ac:dyDescent="0.2">
      <c r="A180" s="166"/>
      <c r="B180" s="167" t="s">
        <v>63</v>
      </c>
      <c r="C180" s="167" t="s">
        <v>183</v>
      </c>
      <c r="D180" s="172"/>
      <c r="E180" s="169"/>
      <c r="F180" s="170"/>
      <c r="G180" s="169"/>
      <c r="H180" s="173"/>
      <c r="I180" s="169"/>
      <c r="J180" s="169"/>
      <c r="L180" s="99"/>
      <c r="N180" s="142"/>
    </row>
    <row r="181" spans="1:14" ht="19.5" customHeight="1" x14ac:dyDescent="0.2">
      <c r="A181" s="166"/>
      <c r="B181" s="167"/>
      <c r="C181" s="167" t="s">
        <v>185</v>
      </c>
      <c r="D181" s="168">
        <v>1</v>
      </c>
      <c r="E181" s="169"/>
      <c r="F181" s="170" t="s">
        <v>13</v>
      </c>
      <c r="G181" s="169"/>
      <c r="H181" s="72"/>
      <c r="I181" s="169"/>
      <c r="J181" s="171">
        <f t="shared" si="5"/>
        <v>0</v>
      </c>
      <c r="L181" s="99"/>
      <c r="M181" s="142"/>
      <c r="N181" s="142"/>
    </row>
    <row r="182" spans="1:14" ht="19.5" customHeight="1" x14ac:dyDescent="0.2">
      <c r="A182" s="166"/>
      <c r="B182" s="167" t="s">
        <v>64</v>
      </c>
      <c r="C182" s="167" t="s">
        <v>186</v>
      </c>
      <c r="D182" s="172"/>
      <c r="E182" s="169"/>
      <c r="F182" s="170"/>
      <c r="G182" s="169"/>
      <c r="H182" s="173"/>
      <c r="I182" s="169"/>
      <c r="J182" s="169"/>
      <c r="L182" s="99"/>
      <c r="N182" s="142"/>
    </row>
    <row r="183" spans="1:14" ht="19.5" customHeight="1" x14ac:dyDescent="0.2">
      <c r="A183" s="166"/>
      <c r="B183" s="167"/>
      <c r="C183" s="167" t="s">
        <v>184</v>
      </c>
      <c r="D183" s="168">
        <v>6</v>
      </c>
      <c r="E183" s="169"/>
      <c r="F183" s="170" t="s">
        <v>13</v>
      </c>
      <c r="G183" s="169"/>
      <c r="H183" s="72"/>
      <c r="I183" s="169"/>
      <c r="J183" s="171">
        <f t="shared" si="5"/>
        <v>0</v>
      </c>
      <c r="L183" s="99"/>
      <c r="M183" s="142"/>
      <c r="N183" s="142"/>
    </row>
    <row r="184" spans="1:14" ht="19.5" customHeight="1" x14ac:dyDescent="0.2">
      <c r="A184" s="166"/>
      <c r="B184" s="167" t="s">
        <v>141</v>
      </c>
      <c r="C184" s="167" t="s">
        <v>241</v>
      </c>
      <c r="D184" s="172"/>
      <c r="E184" s="169"/>
      <c r="F184" s="170"/>
      <c r="G184" s="169"/>
      <c r="H184" s="173"/>
      <c r="I184" s="169"/>
      <c r="J184" s="169"/>
      <c r="L184" s="99"/>
      <c r="M184" s="142"/>
      <c r="N184" s="142"/>
    </row>
    <row r="185" spans="1:14" ht="19.5" customHeight="1" x14ac:dyDescent="0.2">
      <c r="A185" s="166"/>
      <c r="B185" s="167"/>
      <c r="C185" s="167" t="s">
        <v>185</v>
      </c>
      <c r="D185" s="168">
        <v>1</v>
      </c>
      <c r="E185" s="169"/>
      <c r="F185" s="170" t="s">
        <v>13</v>
      </c>
      <c r="G185" s="169"/>
      <c r="H185" s="72"/>
      <c r="I185" s="169"/>
      <c r="J185" s="171">
        <f t="shared" si="5"/>
        <v>0</v>
      </c>
      <c r="L185" s="99"/>
      <c r="M185" s="142"/>
      <c r="N185" s="142"/>
    </row>
    <row r="186" spans="1:14" ht="19.5" customHeight="1" x14ac:dyDescent="0.2">
      <c r="A186" s="166" t="s">
        <v>187</v>
      </c>
      <c r="B186" s="167" t="s">
        <v>188</v>
      </c>
      <c r="C186" s="167"/>
      <c r="D186" s="172"/>
      <c r="E186" s="169"/>
      <c r="F186" s="170"/>
      <c r="G186" s="169"/>
      <c r="H186" s="173"/>
      <c r="I186" s="169"/>
      <c r="J186" s="169"/>
      <c r="L186" s="99"/>
      <c r="M186" s="142"/>
      <c r="N186" s="142"/>
    </row>
    <row r="187" spans="1:14" ht="19.5" customHeight="1" x14ac:dyDescent="0.2">
      <c r="A187" s="166"/>
      <c r="B187" s="167"/>
      <c r="C187" s="167" t="s">
        <v>242</v>
      </c>
      <c r="D187" s="168">
        <v>6</v>
      </c>
      <c r="E187" s="169"/>
      <c r="F187" s="170" t="s">
        <v>13</v>
      </c>
      <c r="G187" s="169"/>
      <c r="H187" s="72"/>
      <c r="I187" s="169"/>
      <c r="J187" s="171">
        <f t="shared" si="5"/>
        <v>0</v>
      </c>
      <c r="L187" s="99"/>
      <c r="M187" s="142"/>
      <c r="N187" s="142"/>
    </row>
    <row r="188" spans="1:14" ht="19.5" customHeight="1" x14ac:dyDescent="0.2">
      <c r="A188" s="166"/>
      <c r="B188" s="167"/>
      <c r="C188" s="167" t="s">
        <v>243</v>
      </c>
      <c r="D188" s="168">
        <v>1</v>
      </c>
      <c r="E188" s="169"/>
      <c r="F188" s="170" t="s">
        <v>13</v>
      </c>
      <c r="G188" s="169"/>
      <c r="H188" s="72"/>
      <c r="I188" s="169"/>
      <c r="J188" s="171">
        <f t="shared" si="5"/>
        <v>0</v>
      </c>
      <c r="L188" s="99"/>
      <c r="M188" s="142"/>
      <c r="N188" s="142"/>
    </row>
    <row r="189" spans="1:14" ht="19.5" customHeight="1" x14ac:dyDescent="0.2">
      <c r="A189" s="166" t="s">
        <v>189</v>
      </c>
      <c r="B189" s="167" t="s">
        <v>190</v>
      </c>
      <c r="C189" s="167"/>
      <c r="D189" s="168">
        <v>1</v>
      </c>
      <c r="E189" s="169"/>
      <c r="F189" s="170" t="s">
        <v>7</v>
      </c>
      <c r="G189" s="169"/>
      <c r="H189" s="72"/>
      <c r="I189" s="169"/>
      <c r="J189" s="171">
        <f t="shared" si="5"/>
        <v>0</v>
      </c>
      <c r="L189" s="99"/>
      <c r="M189" s="142"/>
      <c r="N189" s="142"/>
    </row>
    <row r="190" spans="1:14" ht="19.5" customHeight="1" x14ac:dyDescent="0.2">
      <c r="A190" s="145"/>
      <c r="B190" s="146"/>
      <c r="C190" s="147"/>
      <c r="D190" s="172"/>
      <c r="E190" s="169"/>
      <c r="F190" s="170"/>
      <c r="G190" s="169"/>
      <c r="H190" s="173"/>
      <c r="I190" s="169"/>
      <c r="J190" s="169"/>
      <c r="L190" s="99"/>
      <c r="N190" s="142"/>
    </row>
    <row r="191" spans="1:14" ht="19.5" customHeight="1" thickBot="1" x14ac:dyDescent="0.3">
      <c r="A191" s="145"/>
      <c r="B191" s="146"/>
      <c r="C191" s="147"/>
      <c r="D191" s="172"/>
      <c r="E191" s="169"/>
      <c r="F191" s="170"/>
      <c r="G191" s="169"/>
      <c r="H191" s="174" t="s">
        <v>82</v>
      </c>
      <c r="I191" s="169"/>
      <c r="J191" s="175">
        <f>SUM(J175:J190)</f>
        <v>0</v>
      </c>
      <c r="L191" s="99"/>
      <c r="N191" s="142"/>
    </row>
    <row r="192" spans="1:14" ht="19.5" customHeight="1" x14ac:dyDescent="0.2">
      <c r="A192" s="133"/>
      <c r="C192" s="132"/>
      <c r="D192" s="99"/>
      <c r="E192" s="99"/>
      <c r="F192" s="99"/>
      <c r="G192" s="99"/>
      <c r="H192" s="99"/>
      <c r="I192" s="99"/>
      <c r="J192" s="99"/>
      <c r="K192" s="99"/>
      <c r="L192" s="99"/>
      <c r="N192" s="142"/>
    </row>
    <row r="193" spans="1:14" ht="19.5" customHeight="1" thickBot="1" x14ac:dyDescent="0.25">
      <c r="A193" s="133"/>
      <c r="C193" s="132"/>
      <c r="D193" s="99"/>
      <c r="E193" s="99"/>
      <c r="F193" s="117"/>
      <c r="G193" s="128"/>
      <c r="H193" s="129" t="s">
        <v>72</v>
      </c>
      <c r="I193" s="128"/>
      <c r="J193" s="199">
        <f>J123+J143+J156+J166+J172+J191</f>
        <v>0</v>
      </c>
      <c r="K193" s="199"/>
      <c r="L193" s="99"/>
      <c r="N193" s="142"/>
    </row>
    <row r="194" spans="1:14" ht="19.5" customHeight="1" x14ac:dyDescent="0.2">
      <c r="A194" s="133"/>
      <c r="C194" s="132"/>
      <c r="D194" s="99"/>
      <c r="E194" s="99"/>
      <c r="F194" s="99"/>
      <c r="G194" s="99"/>
      <c r="H194" s="99"/>
      <c r="I194" s="99"/>
      <c r="J194" s="99"/>
      <c r="K194" s="99"/>
      <c r="L194" s="99"/>
    </row>
    <row r="195" spans="1:14" ht="19.5" customHeight="1" x14ac:dyDescent="0.2">
      <c r="A195" s="133"/>
      <c r="C195" s="132"/>
      <c r="D195" s="136"/>
      <c r="E195" s="99"/>
      <c r="F195" s="99"/>
      <c r="G195" s="99"/>
      <c r="H195" s="99"/>
      <c r="I195" s="99"/>
      <c r="J195" s="136"/>
      <c r="K195" s="99"/>
      <c r="L195" s="99"/>
      <c r="M195" s="181"/>
      <c r="N195"/>
    </row>
    <row r="196" spans="1:14" ht="19.5" customHeight="1" x14ac:dyDescent="0.2">
      <c r="A196" s="133"/>
      <c r="C196" s="132"/>
      <c r="D196" s="99"/>
      <c r="E196" s="99"/>
      <c r="F196" s="99"/>
      <c r="G196" s="99"/>
      <c r="H196" s="99"/>
      <c r="I196" s="99"/>
      <c r="J196" s="99"/>
      <c r="K196" s="99"/>
      <c r="L196" s="99"/>
    </row>
    <row r="197" spans="1:14" ht="19.5" customHeight="1" x14ac:dyDescent="0.2">
      <c r="A197" s="133"/>
      <c r="C197" s="132"/>
      <c r="D197" s="99"/>
      <c r="E197" s="99"/>
      <c r="F197" s="99"/>
      <c r="G197" s="99"/>
      <c r="H197" s="99"/>
      <c r="I197" s="99"/>
      <c r="J197" s="99"/>
      <c r="K197" s="99"/>
      <c r="L197" s="99"/>
    </row>
    <row r="198" spans="1:14" ht="19.5" customHeight="1" x14ac:dyDescent="0.2">
      <c r="A198" s="133"/>
      <c r="C198" s="132"/>
      <c r="D198" s="99"/>
      <c r="E198" s="99"/>
      <c r="F198" s="99"/>
      <c r="G198" s="99"/>
      <c r="H198" s="99"/>
      <c r="I198" s="99"/>
      <c r="J198" s="99"/>
      <c r="K198" s="99"/>
      <c r="L198" s="99"/>
    </row>
    <row r="199" spans="1:14" ht="19.5" customHeight="1" x14ac:dyDescent="0.2">
      <c r="A199" s="133"/>
      <c r="C199" s="132"/>
      <c r="D199" s="99"/>
      <c r="E199" s="99"/>
      <c r="F199" s="99"/>
      <c r="G199" s="99"/>
      <c r="H199" s="99"/>
      <c r="I199" s="99"/>
      <c r="J199" s="99"/>
      <c r="K199" s="99"/>
      <c r="L199" s="99"/>
    </row>
    <row r="200" spans="1:14" ht="19.5" customHeight="1" x14ac:dyDescent="0.2">
      <c r="A200" s="133"/>
      <c r="C200" s="132"/>
      <c r="D200" s="99"/>
      <c r="E200" s="99"/>
      <c r="F200" s="99"/>
      <c r="G200" s="99"/>
      <c r="H200" s="99"/>
      <c r="I200" s="99"/>
      <c r="J200" s="99"/>
      <c r="K200" s="99"/>
      <c r="L200" s="99"/>
    </row>
    <row r="201" spans="1:14" ht="19.5" customHeight="1" x14ac:dyDescent="0.2">
      <c r="A201" s="133"/>
      <c r="C201" s="132"/>
      <c r="D201" s="99"/>
      <c r="E201" s="99"/>
      <c r="F201" s="99"/>
      <c r="G201" s="99"/>
      <c r="H201" s="99"/>
      <c r="I201" s="99"/>
      <c r="J201" s="99"/>
      <c r="K201" s="99"/>
      <c r="L201" s="99"/>
    </row>
    <row r="202" spans="1:14" ht="19.5" customHeight="1" x14ac:dyDescent="0.2">
      <c r="A202" s="133"/>
      <c r="C202" s="132"/>
      <c r="D202" s="99"/>
      <c r="E202" s="99"/>
      <c r="F202" s="99"/>
      <c r="G202" s="99"/>
      <c r="H202" s="99"/>
      <c r="I202" s="99"/>
      <c r="J202" s="99"/>
      <c r="K202" s="99"/>
      <c r="L202" s="99"/>
    </row>
    <row r="203" spans="1:14" ht="19.5" customHeight="1" x14ac:dyDescent="0.2">
      <c r="A203" s="133"/>
      <c r="C203" s="132"/>
      <c r="D203" s="99"/>
      <c r="E203" s="99"/>
      <c r="F203" s="99"/>
      <c r="G203" s="99"/>
      <c r="H203" s="99"/>
      <c r="I203" s="99"/>
      <c r="J203" s="99"/>
      <c r="K203" s="99"/>
      <c r="L203" s="99"/>
    </row>
    <row r="204" spans="1:14" ht="19.5" customHeight="1" x14ac:dyDescent="0.2">
      <c r="A204" s="133"/>
      <c r="C204" s="132"/>
      <c r="D204" s="99"/>
      <c r="E204" s="99"/>
      <c r="F204" s="99"/>
      <c r="G204" s="99"/>
      <c r="H204" s="99"/>
      <c r="I204" s="99"/>
      <c r="J204" s="99"/>
      <c r="K204" s="99"/>
      <c r="L204" s="99"/>
    </row>
    <row r="205" spans="1:14" ht="19.5" customHeight="1" x14ac:dyDescent="0.2">
      <c r="A205" s="133"/>
      <c r="C205" s="132"/>
      <c r="D205" s="99"/>
      <c r="E205" s="99"/>
      <c r="F205" s="99"/>
      <c r="G205" s="99"/>
      <c r="H205" s="99"/>
      <c r="I205" s="99"/>
      <c r="J205" s="99"/>
      <c r="K205" s="99"/>
      <c r="L205" s="99"/>
    </row>
    <row r="206" spans="1:14" ht="19.5" customHeight="1" x14ac:dyDescent="0.2">
      <c r="A206" s="133"/>
      <c r="C206" s="132"/>
      <c r="D206" s="99"/>
      <c r="E206" s="99"/>
      <c r="F206" s="99"/>
      <c r="G206" s="99"/>
      <c r="H206" s="99"/>
      <c r="I206" s="99"/>
      <c r="J206" s="99"/>
      <c r="K206" s="99"/>
      <c r="L206" s="99"/>
    </row>
    <row r="207" spans="1:14" ht="19.5" customHeight="1" x14ac:dyDescent="0.2">
      <c r="A207" s="133"/>
      <c r="C207" s="132"/>
      <c r="D207" s="99"/>
      <c r="E207" s="99"/>
      <c r="F207" s="99"/>
      <c r="G207" s="99"/>
      <c r="H207" s="99"/>
      <c r="I207" s="99"/>
      <c r="J207" s="99"/>
      <c r="K207" s="99"/>
      <c r="L207" s="99"/>
    </row>
    <row r="208" spans="1:14" ht="19.5" customHeight="1" x14ac:dyDescent="0.2">
      <c r="A208" s="133"/>
      <c r="C208" s="132"/>
      <c r="D208" s="99"/>
      <c r="E208" s="99"/>
      <c r="F208" s="99"/>
      <c r="G208" s="99"/>
      <c r="H208" s="99"/>
      <c r="I208" s="99"/>
      <c r="J208" s="99"/>
      <c r="K208" s="99"/>
      <c r="L208" s="99"/>
    </row>
    <row r="209" spans="1:12" ht="19.5" customHeight="1" x14ac:dyDescent="0.2">
      <c r="A209" s="133"/>
      <c r="C209" s="132"/>
      <c r="D209" s="99"/>
      <c r="E209" s="99"/>
      <c r="F209" s="99"/>
      <c r="G209" s="99"/>
      <c r="H209" s="99"/>
      <c r="I209" s="99"/>
      <c r="J209" s="99"/>
      <c r="K209" s="99"/>
      <c r="L209" s="99"/>
    </row>
    <row r="210" spans="1:12" ht="19.5" customHeight="1" x14ac:dyDescent="0.2">
      <c r="A210" s="133"/>
      <c r="C210" s="132"/>
      <c r="D210" s="99"/>
      <c r="E210" s="99"/>
      <c r="F210" s="99"/>
      <c r="G210" s="99"/>
      <c r="H210" s="99"/>
      <c r="I210" s="99"/>
      <c r="J210" s="99"/>
      <c r="K210" s="99"/>
      <c r="L210" s="99"/>
    </row>
    <row r="211" spans="1:12" ht="19.5" customHeight="1" x14ac:dyDescent="0.2">
      <c r="A211" s="133"/>
      <c r="C211" s="132"/>
      <c r="D211" s="99"/>
      <c r="E211" s="99"/>
      <c r="F211" s="99"/>
      <c r="G211" s="99"/>
      <c r="H211" s="99"/>
      <c r="I211" s="99"/>
      <c r="J211" s="99"/>
      <c r="K211" s="99"/>
      <c r="L211" s="99"/>
    </row>
    <row r="212" spans="1:12" ht="19.5" customHeight="1" x14ac:dyDescent="0.2">
      <c r="A212" s="133"/>
      <c r="C212" s="132"/>
      <c r="D212" s="99"/>
      <c r="E212" s="99"/>
      <c r="F212" s="99"/>
      <c r="G212" s="99"/>
      <c r="H212" s="99"/>
      <c r="I212" s="99"/>
      <c r="J212" s="99"/>
      <c r="K212" s="99"/>
      <c r="L212" s="99"/>
    </row>
    <row r="213" spans="1:12" ht="19.5" customHeight="1" x14ac:dyDescent="0.2">
      <c r="A213" s="133"/>
      <c r="C213" s="132"/>
      <c r="D213" s="99"/>
      <c r="E213" s="99"/>
      <c r="F213" s="99"/>
      <c r="G213" s="99"/>
      <c r="H213" s="99"/>
      <c r="I213" s="99"/>
      <c r="J213" s="99"/>
      <c r="K213" s="99"/>
      <c r="L213" s="99"/>
    </row>
    <row r="214" spans="1:12" ht="19.5" customHeight="1" x14ac:dyDescent="0.2">
      <c r="A214" s="133"/>
      <c r="C214" s="132"/>
      <c r="D214" s="99"/>
      <c r="E214" s="99"/>
      <c r="F214" s="99"/>
      <c r="G214" s="99"/>
      <c r="H214" s="99"/>
      <c r="I214" s="99"/>
      <c r="J214" s="99"/>
      <c r="K214" s="99"/>
      <c r="L214" s="99"/>
    </row>
    <row r="215" spans="1:12" ht="19.5" customHeight="1" x14ac:dyDescent="0.2">
      <c r="A215" s="133"/>
      <c r="C215" s="132"/>
      <c r="D215" s="99"/>
      <c r="E215" s="99"/>
      <c r="F215" s="99"/>
      <c r="G215" s="99"/>
      <c r="H215" s="99"/>
      <c r="I215" s="99"/>
      <c r="J215" s="99"/>
      <c r="K215" s="99"/>
      <c r="L215" s="99"/>
    </row>
    <row r="216" spans="1:12" ht="19.5" customHeight="1" x14ac:dyDescent="0.2">
      <c r="A216" s="133"/>
      <c r="C216" s="132"/>
      <c r="D216" s="99"/>
      <c r="E216" s="99"/>
      <c r="F216" s="99"/>
      <c r="G216" s="99"/>
      <c r="H216" s="99"/>
      <c r="I216" s="99"/>
      <c r="J216" s="99"/>
      <c r="K216" s="99"/>
      <c r="L216" s="99"/>
    </row>
    <row r="217" spans="1:12" ht="19.5" customHeight="1" x14ac:dyDescent="0.2">
      <c r="A217" s="133"/>
      <c r="C217" s="132"/>
      <c r="D217" s="99"/>
      <c r="E217" s="99"/>
      <c r="F217" s="99"/>
      <c r="G217" s="99"/>
      <c r="H217" s="99"/>
      <c r="I217" s="99"/>
      <c r="J217" s="99"/>
      <c r="K217" s="99"/>
      <c r="L217" s="99"/>
    </row>
    <row r="218" spans="1:12" ht="19.5" customHeight="1" x14ac:dyDescent="0.2">
      <c r="A218" s="133"/>
      <c r="C218" s="132"/>
      <c r="D218" s="99"/>
      <c r="E218" s="99"/>
      <c r="F218" s="99"/>
      <c r="G218" s="99"/>
      <c r="H218" s="99"/>
      <c r="I218" s="99"/>
      <c r="J218" s="99"/>
      <c r="K218" s="99"/>
      <c r="L218" s="99"/>
    </row>
    <row r="219" spans="1:12" ht="19.5" customHeight="1" x14ac:dyDescent="0.2">
      <c r="A219" s="133"/>
      <c r="C219" s="132"/>
      <c r="D219" s="99"/>
      <c r="E219" s="99"/>
      <c r="F219" s="99"/>
      <c r="G219" s="99"/>
      <c r="H219" s="99"/>
      <c r="I219" s="99"/>
      <c r="J219" s="99"/>
      <c r="K219" s="99"/>
      <c r="L219" s="99"/>
    </row>
    <row r="220" spans="1:12" ht="19.5" customHeight="1" x14ac:dyDescent="0.2">
      <c r="A220" s="133"/>
      <c r="C220" s="132"/>
      <c r="D220" s="99"/>
      <c r="E220" s="99"/>
      <c r="F220" s="99"/>
      <c r="G220" s="99"/>
      <c r="H220" s="99"/>
      <c r="I220" s="99"/>
      <c r="J220" s="99"/>
      <c r="K220" s="99"/>
      <c r="L220" s="99"/>
    </row>
    <row r="221" spans="1:12" ht="19.5" customHeight="1" x14ac:dyDescent="0.2">
      <c r="A221" s="133"/>
      <c r="C221" s="132"/>
      <c r="D221" s="99"/>
      <c r="E221" s="99"/>
      <c r="F221" s="99"/>
      <c r="G221" s="99"/>
      <c r="H221" s="99"/>
      <c r="I221" s="99"/>
      <c r="J221" s="99"/>
      <c r="K221" s="99"/>
      <c r="L221" s="99"/>
    </row>
    <row r="222" spans="1:12" ht="19.5" customHeight="1" x14ac:dyDescent="0.2">
      <c r="A222" s="133"/>
      <c r="C222" s="132"/>
      <c r="D222" s="99"/>
      <c r="E222" s="99"/>
      <c r="F222" s="99"/>
      <c r="G222" s="99"/>
      <c r="H222" s="99"/>
      <c r="I222" s="99"/>
      <c r="J222" s="99"/>
      <c r="K222" s="99"/>
      <c r="L222" s="99"/>
    </row>
    <row r="223" spans="1:12" ht="19.5" customHeight="1" x14ac:dyDescent="0.2">
      <c r="A223" s="133"/>
      <c r="C223" s="132"/>
      <c r="D223" s="99"/>
      <c r="E223" s="99"/>
      <c r="F223" s="99"/>
      <c r="G223" s="99"/>
      <c r="H223" s="99"/>
      <c r="I223" s="99"/>
      <c r="J223" s="99"/>
      <c r="K223" s="99"/>
      <c r="L223" s="99"/>
    </row>
    <row r="224" spans="1:12" ht="19.5" customHeight="1" x14ac:dyDescent="0.2">
      <c r="A224" s="133"/>
      <c r="C224" s="132"/>
      <c r="D224" s="99"/>
      <c r="E224" s="99"/>
      <c r="F224" s="99"/>
      <c r="G224" s="99"/>
      <c r="H224" s="99"/>
      <c r="I224" s="99"/>
      <c r="J224" s="99"/>
      <c r="K224" s="99"/>
      <c r="L224" s="99"/>
    </row>
    <row r="225" spans="1:12" ht="19.5" customHeight="1" x14ac:dyDescent="0.2">
      <c r="A225" s="133"/>
      <c r="C225" s="132"/>
      <c r="D225" s="99"/>
      <c r="E225" s="99"/>
      <c r="F225" s="99"/>
      <c r="G225" s="99"/>
      <c r="H225" s="99"/>
      <c r="I225" s="99"/>
      <c r="J225" s="99"/>
      <c r="K225" s="99"/>
      <c r="L225" s="99"/>
    </row>
    <row r="226" spans="1:12" ht="19.5" customHeight="1" x14ac:dyDescent="0.2">
      <c r="A226" s="133"/>
      <c r="C226" s="132"/>
      <c r="D226" s="99"/>
      <c r="E226" s="99"/>
      <c r="F226" s="99"/>
      <c r="G226" s="99"/>
      <c r="H226" s="99"/>
      <c r="I226" s="99"/>
      <c r="J226" s="99"/>
      <c r="K226" s="99"/>
      <c r="L226" s="99"/>
    </row>
    <row r="227" spans="1:12" ht="19.5" customHeight="1" x14ac:dyDescent="0.2">
      <c r="A227" s="133"/>
      <c r="C227" s="132"/>
      <c r="D227" s="99"/>
      <c r="E227" s="99"/>
      <c r="F227" s="99"/>
      <c r="G227" s="99"/>
      <c r="H227" s="99"/>
      <c r="I227" s="99"/>
      <c r="J227" s="99"/>
      <c r="K227" s="99"/>
      <c r="L227" s="99"/>
    </row>
    <row r="228" spans="1:12" ht="19.5" customHeight="1" x14ac:dyDescent="0.2">
      <c r="A228" s="133"/>
      <c r="C228" s="132"/>
      <c r="D228" s="99"/>
      <c r="E228" s="99"/>
      <c r="F228" s="99"/>
      <c r="G228" s="99"/>
      <c r="H228" s="99"/>
      <c r="I228" s="99"/>
      <c r="J228" s="99"/>
      <c r="K228" s="99"/>
      <c r="L228" s="99"/>
    </row>
    <row r="229" spans="1:12" ht="19.5" customHeight="1" x14ac:dyDescent="0.2">
      <c r="A229" s="133"/>
      <c r="C229" s="132"/>
      <c r="D229" s="99"/>
      <c r="E229" s="99"/>
      <c r="F229" s="99"/>
      <c r="G229" s="99"/>
      <c r="H229" s="99"/>
      <c r="I229" s="99"/>
      <c r="J229" s="99"/>
      <c r="K229" s="99"/>
      <c r="L229" s="99"/>
    </row>
    <row r="230" spans="1:12" ht="19.5" customHeight="1" x14ac:dyDescent="0.2">
      <c r="A230" s="133"/>
      <c r="C230" s="132"/>
      <c r="D230" s="99"/>
      <c r="E230" s="99"/>
      <c r="F230" s="99"/>
      <c r="G230" s="99"/>
      <c r="H230" s="99"/>
      <c r="I230" s="99"/>
      <c r="J230" s="99"/>
      <c r="K230" s="99"/>
      <c r="L230" s="99"/>
    </row>
    <row r="231" spans="1:12" ht="19.5" customHeight="1" x14ac:dyDescent="0.2">
      <c r="A231" s="133"/>
      <c r="C231" s="132"/>
      <c r="D231" s="99"/>
      <c r="E231" s="99"/>
      <c r="F231" s="99"/>
      <c r="G231" s="99"/>
      <c r="H231" s="99"/>
      <c r="I231" s="99"/>
      <c r="J231" s="99"/>
      <c r="K231" s="99"/>
      <c r="L231" s="99"/>
    </row>
    <row r="232" spans="1:12" ht="19.5" customHeight="1" x14ac:dyDescent="0.2">
      <c r="A232" s="133"/>
      <c r="C232" s="132"/>
      <c r="D232" s="99"/>
      <c r="E232" s="99"/>
      <c r="F232" s="99"/>
      <c r="G232" s="99"/>
      <c r="H232" s="99"/>
      <c r="I232" s="99"/>
      <c r="J232" s="99"/>
      <c r="K232" s="99"/>
      <c r="L232" s="99"/>
    </row>
    <row r="233" spans="1:12" ht="19.5" customHeight="1" x14ac:dyDescent="0.2">
      <c r="A233" s="133"/>
      <c r="C233" s="132"/>
      <c r="D233" s="99"/>
      <c r="E233" s="99"/>
      <c r="F233" s="99"/>
      <c r="G233" s="99"/>
      <c r="H233" s="99"/>
      <c r="I233" s="99"/>
      <c r="J233" s="99"/>
      <c r="K233" s="99"/>
      <c r="L233" s="99"/>
    </row>
    <row r="234" spans="1:12" ht="19.5" customHeight="1" x14ac:dyDescent="0.2">
      <c r="A234" s="133"/>
      <c r="C234" s="132"/>
      <c r="D234" s="99"/>
      <c r="E234" s="99"/>
      <c r="F234" s="99"/>
      <c r="G234" s="99"/>
      <c r="H234" s="99"/>
      <c r="I234" s="99"/>
      <c r="J234" s="99"/>
      <c r="K234" s="99"/>
      <c r="L234" s="99"/>
    </row>
    <row r="235" spans="1:12" ht="19.5" customHeight="1" x14ac:dyDescent="0.2">
      <c r="A235" s="133"/>
      <c r="C235" s="132"/>
      <c r="D235" s="99"/>
      <c r="E235" s="99"/>
      <c r="F235" s="99"/>
      <c r="G235" s="99"/>
      <c r="H235" s="99"/>
      <c r="I235" s="99"/>
      <c r="J235" s="99"/>
      <c r="K235" s="99"/>
      <c r="L235" s="99"/>
    </row>
    <row r="236" spans="1:12" ht="19.5" customHeight="1" x14ac:dyDescent="0.2">
      <c r="A236" s="133"/>
      <c r="C236" s="132"/>
      <c r="D236" s="99"/>
      <c r="E236" s="99"/>
      <c r="F236" s="99"/>
      <c r="G236" s="99"/>
      <c r="H236" s="99"/>
      <c r="I236" s="99"/>
      <c r="J236" s="99"/>
      <c r="K236" s="99"/>
      <c r="L236" s="99"/>
    </row>
    <row r="237" spans="1:12" ht="19.5" customHeight="1" x14ac:dyDescent="0.2">
      <c r="A237" s="133"/>
      <c r="C237" s="132"/>
      <c r="D237" s="99"/>
      <c r="E237" s="99"/>
      <c r="F237" s="99"/>
      <c r="G237" s="99"/>
      <c r="H237" s="99"/>
      <c r="I237" s="99"/>
      <c r="J237" s="99"/>
      <c r="K237" s="99"/>
      <c r="L237" s="99"/>
    </row>
    <row r="238" spans="1:12" ht="19.5" customHeight="1" x14ac:dyDescent="0.2">
      <c r="A238" s="133"/>
      <c r="C238" s="132"/>
      <c r="D238" s="99"/>
      <c r="E238" s="99"/>
      <c r="F238" s="99"/>
      <c r="G238" s="99"/>
      <c r="H238" s="99"/>
      <c r="I238" s="99"/>
      <c r="J238" s="99"/>
      <c r="K238" s="99"/>
      <c r="L238" s="99"/>
    </row>
    <row r="239" spans="1:12" ht="19.5" customHeight="1" x14ac:dyDescent="0.2">
      <c r="A239" s="133"/>
      <c r="C239" s="132"/>
      <c r="D239" s="99"/>
      <c r="E239" s="99"/>
      <c r="F239" s="99"/>
      <c r="G239" s="99"/>
      <c r="H239" s="99"/>
      <c r="I239" s="99"/>
      <c r="J239" s="99"/>
      <c r="K239" s="99"/>
      <c r="L239" s="99"/>
    </row>
    <row r="240" spans="1:12" ht="19.5" customHeight="1" x14ac:dyDescent="0.2">
      <c r="A240" s="133"/>
      <c r="C240" s="132"/>
      <c r="D240" s="99"/>
      <c r="E240" s="99"/>
      <c r="F240" s="99"/>
      <c r="G240" s="99"/>
      <c r="H240" s="99"/>
      <c r="I240" s="99"/>
      <c r="J240" s="99"/>
      <c r="K240" s="99"/>
      <c r="L240" s="99"/>
    </row>
    <row r="241" spans="1:12" ht="19.5" customHeight="1" x14ac:dyDescent="0.2">
      <c r="A241" s="133"/>
      <c r="C241" s="132"/>
      <c r="D241" s="99"/>
      <c r="E241" s="99"/>
      <c r="F241" s="99"/>
      <c r="G241" s="99"/>
      <c r="H241" s="99"/>
      <c r="I241" s="99"/>
      <c r="J241" s="99"/>
      <c r="K241" s="99"/>
      <c r="L241" s="99"/>
    </row>
    <row r="242" spans="1:12" ht="19.5" customHeight="1" x14ac:dyDescent="0.2">
      <c r="A242" s="133"/>
      <c r="C242" s="132"/>
      <c r="D242" s="99"/>
      <c r="E242" s="99"/>
      <c r="F242" s="99"/>
      <c r="G242" s="99"/>
      <c r="H242" s="99"/>
      <c r="I242" s="99"/>
      <c r="J242" s="99"/>
      <c r="K242" s="99"/>
      <c r="L242" s="99"/>
    </row>
    <row r="243" spans="1:12" ht="19.5" customHeight="1" x14ac:dyDescent="0.2">
      <c r="A243" s="133"/>
      <c r="C243" s="132"/>
      <c r="D243" s="99"/>
      <c r="E243" s="99"/>
      <c r="F243" s="99"/>
      <c r="G243" s="99"/>
      <c r="H243" s="99"/>
      <c r="I243" s="99"/>
      <c r="J243" s="99"/>
      <c r="K243" s="99"/>
      <c r="L243" s="99"/>
    </row>
    <row r="244" spans="1:12" ht="19.5" customHeight="1" x14ac:dyDescent="0.2">
      <c r="A244" s="133"/>
      <c r="C244" s="132"/>
      <c r="D244" s="99"/>
      <c r="E244" s="99"/>
      <c r="F244" s="99"/>
      <c r="G244" s="99"/>
      <c r="H244" s="99"/>
      <c r="I244" s="99"/>
      <c r="J244" s="99"/>
      <c r="K244" s="99"/>
      <c r="L244" s="99"/>
    </row>
    <row r="245" spans="1:12" ht="19.5" customHeight="1" x14ac:dyDescent="0.2">
      <c r="A245" s="133"/>
      <c r="C245" s="132"/>
      <c r="D245" s="99"/>
      <c r="E245" s="99"/>
      <c r="F245" s="99"/>
      <c r="G245" s="99"/>
      <c r="H245" s="99"/>
      <c r="I245" s="99"/>
      <c r="J245" s="99"/>
      <c r="K245" s="99"/>
      <c r="L245" s="99"/>
    </row>
    <row r="246" spans="1:12" ht="19.5" customHeight="1" x14ac:dyDescent="0.2">
      <c r="A246" s="133"/>
      <c r="C246" s="132"/>
      <c r="D246" s="99"/>
      <c r="E246" s="99"/>
      <c r="F246" s="99"/>
      <c r="G246" s="99"/>
      <c r="H246" s="99"/>
      <c r="I246" s="99"/>
      <c r="J246" s="99"/>
      <c r="K246" s="99"/>
      <c r="L246" s="99"/>
    </row>
    <row r="247" spans="1:12" ht="19.5" customHeight="1" x14ac:dyDescent="0.2">
      <c r="A247" s="133"/>
      <c r="C247" s="132"/>
      <c r="D247" s="99"/>
      <c r="E247" s="99"/>
      <c r="F247" s="99"/>
      <c r="G247" s="99"/>
      <c r="H247" s="99"/>
      <c r="I247" s="99"/>
      <c r="J247" s="99"/>
      <c r="K247" s="99"/>
      <c r="L247" s="99"/>
    </row>
    <row r="248" spans="1:12" ht="19.5" customHeight="1" x14ac:dyDescent="0.2">
      <c r="A248" s="133"/>
      <c r="C248" s="132"/>
      <c r="D248" s="99"/>
      <c r="E248" s="99"/>
      <c r="F248" s="99"/>
      <c r="G248" s="99"/>
      <c r="H248" s="99"/>
      <c r="I248" s="99"/>
      <c r="J248" s="99"/>
      <c r="K248" s="99"/>
      <c r="L248" s="99"/>
    </row>
    <row r="249" spans="1:12" ht="19.5" customHeight="1" x14ac:dyDescent="0.2">
      <c r="A249" s="133"/>
      <c r="C249" s="132"/>
      <c r="D249" s="99"/>
      <c r="E249" s="99"/>
      <c r="F249" s="99"/>
      <c r="G249" s="99"/>
      <c r="H249" s="99"/>
      <c r="I249" s="99"/>
      <c r="J249" s="99"/>
      <c r="K249" s="99"/>
      <c r="L249" s="99"/>
    </row>
    <row r="250" spans="1:12" ht="19.5" customHeight="1" x14ac:dyDescent="0.2">
      <c r="A250" s="133"/>
      <c r="C250" s="132"/>
      <c r="D250" s="99"/>
      <c r="E250" s="99"/>
      <c r="F250" s="99"/>
      <c r="G250" s="99"/>
      <c r="H250" s="99"/>
      <c r="I250" s="99"/>
      <c r="J250" s="99"/>
      <c r="K250" s="99"/>
      <c r="L250" s="99"/>
    </row>
    <row r="251" spans="1:12" ht="19.5" customHeight="1" x14ac:dyDescent="0.2">
      <c r="A251" s="133"/>
      <c r="C251" s="132"/>
      <c r="D251" s="99"/>
      <c r="E251" s="99"/>
      <c r="F251" s="99"/>
      <c r="G251" s="99"/>
      <c r="H251" s="99"/>
      <c r="I251" s="99"/>
      <c r="J251" s="99"/>
      <c r="K251" s="99"/>
      <c r="L251" s="99"/>
    </row>
    <row r="252" spans="1:12" ht="19.5" customHeight="1" x14ac:dyDescent="0.2">
      <c r="A252" s="133"/>
      <c r="C252" s="132"/>
      <c r="D252" s="99"/>
      <c r="E252" s="99"/>
      <c r="F252" s="99"/>
      <c r="G252" s="99"/>
      <c r="H252" s="99"/>
      <c r="I252" s="99"/>
      <c r="J252" s="99"/>
      <c r="K252" s="99"/>
      <c r="L252" s="99"/>
    </row>
    <row r="253" spans="1:12" ht="19.5" customHeight="1" x14ac:dyDescent="0.2">
      <c r="A253" s="133"/>
      <c r="C253" s="132"/>
      <c r="D253" s="99"/>
      <c r="E253" s="99"/>
      <c r="F253" s="99"/>
      <c r="G253" s="99"/>
      <c r="H253" s="99"/>
      <c r="I253" s="99"/>
      <c r="J253" s="99"/>
      <c r="K253" s="99"/>
      <c r="L253" s="99"/>
    </row>
    <row r="254" spans="1:12" ht="19.5" customHeight="1" x14ac:dyDescent="0.2">
      <c r="A254" s="133"/>
      <c r="C254" s="132"/>
      <c r="D254" s="99"/>
      <c r="E254" s="99"/>
      <c r="F254" s="99"/>
      <c r="G254" s="99"/>
      <c r="H254" s="99"/>
      <c r="I254" s="99"/>
      <c r="J254" s="99"/>
      <c r="K254" s="99"/>
      <c r="L254" s="99"/>
    </row>
    <row r="255" spans="1:12" ht="19.5" customHeight="1" x14ac:dyDescent="0.2">
      <c r="A255" s="133"/>
      <c r="C255" s="132"/>
      <c r="D255" s="99"/>
      <c r="E255" s="99"/>
      <c r="F255" s="99"/>
      <c r="G255" s="99"/>
      <c r="H255" s="99"/>
      <c r="I255" s="99"/>
      <c r="J255" s="99"/>
      <c r="K255" s="99"/>
      <c r="L255" s="99"/>
    </row>
    <row r="256" spans="1:12" ht="19.5" customHeight="1" x14ac:dyDescent="0.2">
      <c r="A256" s="133"/>
      <c r="C256" s="132"/>
      <c r="D256" s="99"/>
      <c r="E256" s="99"/>
      <c r="F256" s="99"/>
      <c r="G256" s="99"/>
      <c r="H256" s="99"/>
      <c r="I256" s="99"/>
      <c r="J256" s="99"/>
      <c r="K256" s="99"/>
      <c r="L256" s="99"/>
    </row>
    <row r="257" spans="1:12" ht="19.5" customHeight="1" x14ac:dyDescent="0.2">
      <c r="A257" s="133"/>
      <c r="C257" s="132"/>
      <c r="D257" s="99"/>
      <c r="E257" s="99"/>
      <c r="F257" s="99"/>
      <c r="G257" s="99"/>
      <c r="H257" s="99"/>
      <c r="I257" s="99"/>
      <c r="J257" s="99"/>
      <c r="K257" s="99"/>
      <c r="L257" s="99"/>
    </row>
    <row r="258" spans="1:12" ht="19.5" customHeight="1" x14ac:dyDescent="0.2">
      <c r="A258" s="133"/>
      <c r="C258" s="132"/>
      <c r="D258" s="99"/>
      <c r="E258" s="99"/>
      <c r="F258" s="99"/>
      <c r="G258" s="99"/>
      <c r="H258" s="99"/>
      <c r="I258" s="99"/>
      <c r="J258" s="99"/>
      <c r="K258" s="99"/>
      <c r="L258" s="99"/>
    </row>
    <row r="259" spans="1:12" ht="19.5" customHeight="1" x14ac:dyDescent="0.2">
      <c r="A259" s="133"/>
      <c r="C259" s="132"/>
      <c r="D259" s="99"/>
      <c r="E259" s="99"/>
      <c r="F259" s="99"/>
      <c r="G259" s="99"/>
      <c r="H259" s="99"/>
      <c r="I259" s="99"/>
      <c r="J259" s="99"/>
      <c r="K259" s="99"/>
      <c r="L259" s="99"/>
    </row>
    <row r="260" spans="1:12" ht="19.5" customHeight="1" x14ac:dyDescent="0.2">
      <c r="A260" s="133"/>
      <c r="C260" s="132"/>
      <c r="D260" s="99"/>
      <c r="E260" s="99"/>
      <c r="F260" s="99"/>
      <c r="G260" s="99"/>
      <c r="H260" s="99"/>
      <c r="I260" s="99"/>
      <c r="J260" s="99"/>
      <c r="K260" s="99"/>
      <c r="L260" s="99"/>
    </row>
    <row r="261" spans="1:12" ht="19.5" customHeight="1" x14ac:dyDescent="0.2">
      <c r="A261" s="133"/>
      <c r="C261" s="132"/>
      <c r="D261" s="99"/>
      <c r="E261" s="99"/>
      <c r="F261" s="99"/>
      <c r="G261" s="99"/>
      <c r="H261" s="99"/>
      <c r="I261" s="99"/>
      <c r="J261" s="99"/>
      <c r="K261" s="99"/>
      <c r="L261" s="99"/>
    </row>
    <row r="262" spans="1:12" ht="19.5" customHeight="1" x14ac:dyDescent="0.2">
      <c r="A262" s="133"/>
      <c r="C262" s="132"/>
      <c r="D262" s="99"/>
      <c r="E262" s="99"/>
      <c r="F262" s="99"/>
      <c r="G262" s="99"/>
      <c r="H262" s="99"/>
      <c r="I262" s="99"/>
      <c r="J262" s="99"/>
      <c r="K262" s="99"/>
      <c r="L262" s="99"/>
    </row>
    <row r="263" spans="1:12" ht="19.5" customHeight="1" x14ac:dyDescent="0.2">
      <c r="A263" s="133"/>
      <c r="C263" s="132"/>
      <c r="D263" s="99"/>
      <c r="E263" s="99"/>
      <c r="F263" s="99"/>
      <c r="G263" s="99"/>
      <c r="H263" s="99"/>
      <c r="I263" s="99"/>
      <c r="J263" s="99"/>
      <c r="K263" s="99"/>
      <c r="L263" s="99"/>
    </row>
    <row r="264" spans="1:12" ht="19.5" customHeight="1" x14ac:dyDescent="0.2">
      <c r="A264" s="133"/>
      <c r="C264" s="132"/>
      <c r="D264" s="99"/>
      <c r="E264" s="99"/>
      <c r="F264" s="99"/>
      <c r="G264" s="99"/>
      <c r="H264" s="99"/>
      <c r="I264" s="99"/>
      <c r="J264" s="99"/>
      <c r="K264" s="99"/>
      <c r="L264" s="99"/>
    </row>
    <row r="265" spans="1:12" ht="19.5" customHeight="1" x14ac:dyDescent="0.2">
      <c r="A265" s="133"/>
      <c r="C265" s="132"/>
      <c r="D265" s="99"/>
      <c r="E265" s="99"/>
      <c r="F265" s="99"/>
      <c r="G265" s="99"/>
      <c r="H265" s="99"/>
      <c r="I265" s="99"/>
      <c r="J265" s="99"/>
      <c r="K265" s="99"/>
      <c r="L265" s="99"/>
    </row>
    <row r="266" spans="1:12" x14ac:dyDescent="0.2">
      <c r="D266" s="99"/>
      <c r="E266" s="99"/>
      <c r="F266" s="99"/>
      <c r="G266" s="99"/>
      <c r="H266" s="99"/>
      <c r="I266" s="99"/>
      <c r="J266" s="99"/>
      <c r="K266" s="99"/>
      <c r="L266" s="99"/>
    </row>
    <row r="267" spans="1:12" x14ac:dyDescent="0.2">
      <c r="D267" s="99"/>
      <c r="E267" s="99"/>
      <c r="F267" s="99"/>
      <c r="G267" s="99"/>
      <c r="H267" s="99"/>
      <c r="I267" s="99"/>
      <c r="J267" s="99"/>
      <c r="K267" s="99"/>
      <c r="L267" s="99"/>
    </row>
    <row r="268" spans="1:12" x14ac:dyDescent="0.2">
      <c r="D268" s="99"/>
      <c r="E268" s="99"/>
      <c r="F268" s="99"/>
      <c r="G268" s="99"/>
      <c r="H268" s="99"/>
      <c r="I268" s="99"/>
      <c r="J268" s="99"/>
      <c r="K268" s="99"/>
      <c r="L268" s="99"/>
    </row>
    <row r="269" spans="1:12" x14ac:dyDescent="0.2">
      <c r="D269" s="99"/>
      <c r="E269" s="99"/>
      <c r="F269" s="99"/>
      <c r="G269" s="99"/>
      <c r="H269" s="99"/>
      <c r="I269" s="99"/>
      <c r="J269" s="99"/>
      <c r="K269" s="99"/>
      <c r="L269" s="99"/>
    </row>
    <row r="270" spans="1:12" x14ac:dyDescent="0.2">
      <c r="D270" s="99"/>
      <c r="E270" s="99"/>
      <c r="F270" s="99"/>
      <c r="G270" s="99"/>
      <c r="H270" s="99"/>
      <c r="I270" s="99"/>
      <c r="J270" s="99"/>
      <c r="K270" s="99"/>
      <c r="L270" s="99"/>
    </row>
    <row r="271" spans="1:12" x14ac:dyDescent="0.2">
      <c r="D271" s="99"/>
      <c r="E271" s="99"/>
      <c r="F271" s="99"/>
      <c r="G271" s="99"/>
      <c r="H271" s="99"/>
      <c r="I271" s="99"/>
      <c r="J271" s="99"/>
      <c r="K271" s="99"/>
      <c r="L271" s="99"/>
    </row>
    <row r="272" spans="1:12" x14ac:dyDescent="0.2">
      <c r="D272" s="99"/>
      <c r="E272" s="99"/>
      <c r="F272" s="99"/>
      <c r="G272" s="99"/>
      <c r="H272" s="99"/>
      <c r="I272" s="99"/>
      <c r="J272" s="99"/>
      <c r="K272" s="99"/>
      <c r="L272" s="99"/>
    </row>
    <row r="273" spans="4:12" x14ac:dyDescent="0.2">
      <c r="D273" s="99"/>
      <c r="E273" s="99"/>
      <c r="F273" s="99"/>
      <c r="G273" s="99"/>
      <c r="H273" s="99"/>
      <c r="I273" s="99"/>
      <c r="J273" s="99"/>
      <c r="K273" s="99"/>
      <c r="L273" s="99"/>
    </row>
    <row r="274" spans="4:12" x14ac:dyDescent="0.2">
      <c r="D274" s="99"/>
      <c r="E274" s="99"/>
      <c r="F274" s="99"/>
      <c r="G274" s="99"/>
      <c r="H274" s="99"/>
      <c r="I274" s="99"/>
      <c r="J274" s="99"/>
      <c r="K274" s="99"/>
      <c r="L274" s="99"/>
    </row>
    <row r="275" spans="4:12" x14ac:dyDescent="0.2">
      <c r="D275" s="99"/>
      <c r="E275" s="99"/>
      <c r="F275" s="99"/>
      <c r="G275" s="99"/>
      <c r="H275" s="99"/>
      <c r="I275" s="99"/>
      <c r="J275" s="99"/>
      <c r="K275" s="99"/>
      <c r="L275" s="99"/>
    </row>
    <row r="276" spans="4:12" x14ac:dyDescent="0.2">
      <c r="D276" s="99"/>
      <c r="E276" s="99"/>
      <c r="F276" s="99"/>
      <c r="G276" s="99"/>
      <c r="H276" s="99"/>
      <c r="I276" s="99"/>
      <c r="J276" s="99"/>
      <c r="K276" s="99"/>
      <c r="L276" s="99"/>
    </row>
    <row r="277" spans="4:12" x14ac:dyDescent="0.2">
      <c r="D277" s="99"/>
      <c r="E277" s="99"/>
      <c r="F277" s="99"/>
      <c r="G277" s="99"/>
      <c r="H277" s="99"/>
      <c r="I277" s="99"/>
      <c r="J277" s="99"/>
      <c r="K277" s="99"/>
      <c r="L277" s="99"/>
    </row>
    <row r="278" spans="4:12" x14ac:dyDescent="0.2">
      <c r="D278" s="99"/>
      <c r="E278" s="99"/>
      <c r="F278" s="99"/>
      <c r="G278" s="99"/>
      <c r="H278" s="99"/>
      <c r="I278" s="99"/>
      <c r="J278" s="99"/>
      <c r="K278" s="99"/>
      <c r="L278" s="99"/>
    </row>
    <row r="279" spans="4:12" x14ac:dyDescent="0.2">
      <c r="D279" s="99"/>
      <c r="E279" s="99"/>
      <c r="F279" s="99"/>
      <c r="G279" s="99"/>
      <c r="H279" s="99"/>
      <c r="I279" s="99"/>
      <c r="J279" s="99"/>
      <c r="K279" s="99"/>
      <c r="L279" s="99"/>
    </row>
    <row r="280" spans="4:12" x14ac:dyDescent="0.2">
      <c r="D280" s="99"/>
      <c r="E280" s="99"/>
      <c r="F280" s="99"/>
      <c r="G280" s="99"/>
      <c r="H280" s="99"/>
      <c r="I280" s="99"/>
      <c r="J280" s="99"/>
      <c r="K280" s="99"/>
      <c r="L280" s="99"/>
    </row>
    <row r="281" spans="4:12" x14ac:dyDescent="0.2">
      <c r="D281" s="99"/>
      <c r="E281" s="99"/>
      <c r="F281" s="99"/>
      <c r="G281" s="99"/>
      <c r="H281" s="99"/>
      <c r="I281" s="99"/>
      <c r="J281" s="99"/>
      <c r="K281" s="99"/>
      <c r="L281" s="99"/>
    </row>
    <row r="282" spans="4:12" x14ac:dyDescent="0.2">
      <c r="D282" s="99"/>
      <c r="E282" s="99"/>
      <c r="F282" s="99"/>
      <c r="G282" s="99"/>
      <c r="H282" s="99"/>
      <c r="I282" s="99"/>
      <c r="J282" s="99"/>
      <c r="K282" s="99"/>
      <c r="L282" s="99"/>
    </row>
    <row r="283" spans="4:12" x14ac:dyDescent="0.2">
      <c r="D283" s="99"/>
      <c r="E283" s="99"/>
      <c r="F283" s="99"/>
      <c r="G283" s="99"/>
      <c r="H283" s="99"/>
      <c r="I283" s="99"/>
      <c r="J283" s="99"/>
      <c r="K283" s="99"/>
      <c r="L283" s="99"/>
    </row>
    <row r="284" spans="4:12" x14ac:dyDescent="0.2">
      <c r="D284" s="99"/>
      <c r="E284" s="99"/>
      <c r="F284" s="99"/>
      <c r="G284" s="99"/>
      <c r="H284" s="99"/>
      <c r="I284" s="99"/>
      <c r="J284" s="99"/>
      <c r="K284" s="99"/>
      <c r="L284" s="99"/>
    </row>
    <row r="285" spans="4:12" x14ac:dyDescent="0.2">
      <c r="D285" s="99"/>
      <c r="E285" s="99"/>
      <c r="F285" s="99"/>
      <c r="G285" s="99"/>
      <c r="H285" s="99"/>
      <c r="I285" s="99"/>
      <c r="J285" s="99"/>
      <c r="K285" s="99"/>
      <c r="L285" s="99"/>
    </row>
    <row r="286" spans="4:12" x14ac:dyDescent="0.2">
      <c r="D286" s="99"/>
      <c r="E286" s="99"/>
      <c r="F286" s="99"/>
      <c r="G286" s="99"/>
      <c r="H286" s="99"/>
      <c r="I286" s="99"/>
      <c r="J286" s="99"/>
      <c r="K286" s="99"/>
      <c r="L286" s="99"/>
    </row>
    <row r="287" spans="4:12" x14ac:dyDescent="0.2">
      <c r="D287" s="99"/>
      <c r="E287" s="99"/>
      <c r="F287" s="99"/>
      <c r="G287" s="99"/>
      <c r="H287" s="99"/>
      <c r="I287" s="99"/>
      <c r="J287" s="99"/>
      <c r="K287" s="99"/>
      <c r="L287" s="99"/>
    </row>
    <row r="288" spans="4:12" x14ac:dyDescent="0.2">
      <c r="D288" s="99"/>
      <c r="E288" s="99"/>
      <c r="F288" s="99"/>
      <c r="G288" s="99"/>
      <c r="H288" s="99"/>
      <c r="I288" s="99"/>
      <c r="J288" s="99"/>
      <c r="K288" s="99"/>
      <c r="L288" s="99"/>
    </row>
    <row r="289" spans="4:12" x14ac:dyDescent="0.2">
      <c r="D289" s="99"/>
      <c r="E289" s="99"/>
      <c r="F289" s="99"/>
      <c r="G289" s="99"/>
      <c r="H289" s="99"/>
      <c r="I289" s="99"/>
      <c r="J289" s="99"/>
      <c r="K289" s="99"/>
      <c r="L289" s="99"/>
    </row>
    <row r="290" spans="4:12" x14ac:dyDescent="0.2">
      <c r="D290" s="99"/>
      <c r="E290" s="99"/>
      <c r="F290" s="99"/>
      <c r="G290" s="99"/>
      <c r="H290" s="99"/>
      <c r="I290" s="99"/>
      <c r="J290" s="99"/>
      <c r="K290" s="99"/>
      <c r="L290" s="99"/>
    </row>
    <row r="291" spans="4:12" x14ac:dyDescent="0.2">
      <c r="D291" s="99"/>
      <c r="E291" s="99"/>
      <c r="F291" s="99"/>
      <c r="G291" s="99"/>
      <c r="H291" s="99"/>
      <c r="I291" s="99"/>
      <c r="J291" s="99"/>
      <c r="K291" s="99"/>
      <c r="L291" s="99"/>
    </row>
    <row r="292" spans="4:12" x14ac:dyDescent="0.2">
      <c r="D292" s="99"/>
      <c r="E292" s="99"/>
      <c r="F292" s="99"/>
      <c r="G292" s="99"/>
      <c r="H292" s="99"/>
      <c r="I292" s="99"/>
      <c r="J292" s="99"/>
      <c r="K292" s="99"/>
      <c r="L292" s="99"/>
    </row>
    <row r="293" spans="4:12" x14ac:dyDescent="0.2">
      <c r="D293" s="99"/>
      <c r="E293" s="99"/>
      <c r="F293" s="99"/>
      <c r="G293" s="99"/>
      <c r="H293" s="99"/>
      <c r="I293" s="99"/>
      <c r="J293" s="99"/>
      <c r="K293" s="99"/>
      <c r="L293" s="99"/>
    </row>
    <row r="294" spans="4:12" x14ac:dyDescent="0.2">
      <c r="D294" s="99"/>
      <c r="E294" s="99"/>
      <c r="F294" s="99"/>
      <c r="G294" s="99"/>
      <c r="H294" s="99"/>
      <c r="I294" s="99"/>
      <c r="J294" s="99"/>
      <c r="K294" s="99"/>
      <c r="L294" s="99"/>
    </row>
    <row r="295" spans="4:12" x14ac:dyDescent="0.2">
      <c r="D295" s="99"/>
      <c r="E295" s="99"/>
      <c r="F295" s="99"/>
      <c r="G295" s="99"/>
      <c r="H295" s="99"/>
      <c r="I295" s="99"/>
      <c r="J295" s="99"/>
      <c r="K295" s="99"/>
      <c r="L295" s="99"/>
    </row>
    <row r="296" spans="4:12" x14ac:dyDescent="0.2">
      <c r="D296" s="99"/>
      <c r="E296" s="99"/>
      <c r="F296" s="99"/>
      <c r="G296" s="99"/>
      <c r="H296" s="99"/>
      <c r="I296" s="99"/>
      <c r="J296" s="99"/>
      <c r="K296" s="99"/>
      <c r="L296" s="99"/>
    </row>
    <row r="297" spans="4:12" x14ac:dyDescent="0.2">
      <c r="D297" s="99"/>
      <c r="E297" s="99"/>
      <c r="F297" s="99"/>
      <c r="G297" s="99"/>
      <c r="H297" s="99"/>
      <c r="I297" s="99"/>
      <c r="J297" s="99"/>
      <c r="K297" s="99"/>
      <c r="L297" s="99"/>
    </row>
    <row r="298" spans="4:12" x14ac:dyDescent="0.2">
      <c r="D298" s="99"/>
      <c r="E298" s="99"/>
      <c r="F298" s="99"/>
      <c r="G298" s="99"/>
      <c r="H298" s="99"/>
      <c r="I298" s="99"/>
      <c r="J298" s="99"/>
      <c r="K298" s="99"/>
      <c r="L298" s="99"/>
    </row>
    <row r="299" spans="4:12" x14ac:dyDescent="0.2">
      <c r="D299" s="99"/>
      <c r="E299" s="99"/>
      <c r="F299" s="99"/>
      <c r="G299" s="99"/>
      <c r="H299" s="99"/>
      <c r="I299" s="99"/>
      <c r="J299" s="99"/>
      <c r="K299" s="99"/>
      <c r="L299" s="99"/>
    </row>
    <row r="300" spans="4:12" x14ac:dyDescent="0.2">
      <c r="D300" s="99"/>
      <c r="E300" s="99"/>
      <c r="F300" s="99"/>
      <c r="G300" s="99"/>
      <c r="H300" s="99"/>
      <c r="I300" s="99"/>
      <c r="J300" s="99"/>
      <c r="K300" s="99"/>
      <c r="L300" s="99"/>
    </row>
    <row r="301" spans="4:12" x14ac:dyDescent="0.2">
      <c r="D301" s="99"/>
      <c r="E301" s="99"/>
      <c r="F301" s="99"/>
      <c r="G301" s="99"/>
      <c r="H301" s="99"/>
      <c r="I301" s="99"/>
      <c r="J301" s="99"/>
      <c r="K301" s="99"/>
      <c r="L301" s="99"/>
    </row>
    <row r="302" spans="4:12" x14ac:dyDescent="0.2">
      <c r="D302" s="99"/>
      <c r="E302" s="99"/>
      <c r="F302" s="99"/>
      <c r="G302" s="99"/>
      <c r="H302" s="99"/>
      <c r="I302" s="99"/>
      <c r="J302" s="99"/>
      <c r="K302" s="99"/>
      <c r="L302" s="99"/>
    </row>
    <row r="303" spans="4:12" x14ac:dyDescent="0.2">
      <c r="D303" s="99"/>
      <c r="E303" s="99"/>
      <c r="F303" s="99"/>
      <c r="G303" s="99"/>
      <c r="H303" s="99"/>
      <c r="I303" s="99"/>
      <c r="J303" s="99"/>
      <c r="K303" s="99"/>
      <c r="L303" s="99"/>
    </row>
    <row r="304" spans="4:12" x14ac:dyDescent="0.2">
      <c r="D304" s="99"/>
      <c r="E304" s="99"/>
      <c r="F304" s="99"/>
      <c r="G304" s="99"/>
      <c r="H304" s="99"/>
      <c r="I304" s="99"/>
      <c r="J304" s="99"/>
      <c r="K304" s="99"/>
      <c r="L304" s="99"/>
    </row>
    <row r="305" spans="4:12" x14ac:dyDescent="0.2">
      <c r="D305" s="99"/>
      <c r="E305" s="99"/>
      <c r="F305" s="99"/>
      <c r="G305" s="99"/>
      <c r="H305" s="99"/>
      <c r="I305" s="99"/>
      <c r="J305" s="99"/>
      <c r="K305" s="99"/>
      <c r="L305" s="99"/>
    </row>
    <row r="306" spans="4:12" x14ac:dyDescent="0.2">
      <c r="D306" s="99"/>
      <c r="E306" s="99"/>
      <c r="F306" s="99"/>
      <c r="G306" s="99"/>
      <c r="H306" s="99"/>
      <c r="I306" s="99"/>
      <c r="J306" s="99"/>
      <c r="K306" s="99"/>
      <c r="L306" s="99"/>
    </row>
    <row r="307" spans="4:12" x14ac:dyDescent="0.2">
      <c r="D307" s="99"/>
      <c r="E307" s="99"/>
      <c r="F307" s="99"/>
      <c r="G307" s="99"/>
      <c r="H307" s="99"/>
      <c r="I307" s="99"/>
      <c r="J307" s="99"/>
      <c r="K307" s="99"/>
      <c r="L307" s="99"/>
    </row>
    <row r="308" spans="4:12" x14ac:dyDescent="0.2">
      <c r="D308" s="99"/>
      <c r="E308" s="99"/>
      <c r="F308" s="99"/>
      <c r="G308" s="99"/>
      <c r="H308" s="99"/>
      <c r="I308" s="99"/>
      <c r="J308" s="99"/>
      <c r="K308" s="99"/>
      <c r="L308" s="99"/>
    </row>
    <row r="309" spans="4:12" x14ac:dyDescent="0.2">
      <c r="D309" s="99"/>
      <c r="E309" s="99"/>
      <c r="F309" s="99"/>
      <c r="G309" s="99"/>
      <c r="H309" s="99"/>
      <c r="I309" s="99"/>
      <c r="J309" s="99"/>
      <c r="K309" s="99"/>
      <c r="L309" s="99"/>
    </row>
    <row r="310" spans="4:12" x14ac:dyDescent="0.2">
      <c r="D310" s="99"/>
      <c r="E310" s="99"/>
      <c r="F310" s="99"/>
      <c r="G310" s="99"/>
      <c r="H310" s="99"/>
      <c r="I310" s="99"/>
      <c r="J310" s="99"/>
      <c r="K310" s="99"/>
      <c r="L310" s="99"/>
    </row>
    <row r="311" spans="4:12" x14ac:dyDescent="0.2">
      <c r="D311" s="99"/>
      <c r="E311" s="99"/>
      <c r="F311" s="99"/>
      <c r="G311" s="99"/>
      <c r="H311" s="99"/>
      <c r="I311" s="99"/>
      <c r="J311" s="99"/>
      <c r="K311" s="99"/>
      <c r="L311" s="99"/>
    </row>
    <row r="312" spans="4:12" x14ac:dyDescent="0.2">
      <c r="D312" s="99"/>
      <c r="E312" s="99"/>
      <c r="F312" s="99"/>
      <c r="G312" s="99"/>
      <c r="H312" s="99"/>
      <c r="I312" s="99"/>
      <c r="J312" s="99"/>
      <c r="K312" s="99"/>
      <c r="L312" s="99"/>
    </row>
    <row r="313" spans="4:12" x14ac:dyDescent="0.2">
      <c r="D313" s="99"/>
      <c r="E313" s="99"/>
      <c r="F313" s="99"/>
      <c r="G313" s="99"/>
      <c r="H313" s="99"/>
      <c r="I313" s="99"/>
      <c r="J313" s="99"/>
      <c r="K313" s="99"/>
      <c r="L313" s="99"/>
    </row>
    <row r="314" spans="4:12" x14ac:dyDescent="0.2">
      <c r="D314" s="99"/>
      <c r="E314" s="99"/>
      <c r="F314" s="99"/>
      <c r="G314" s="99"/>
      <c r="H314" s="99"/>
      <c r="I314" s="99"/>
      <c r="J314" s="99"/>
      <c r="K314" s="99"/>
      <c r="L314" s="99"/>
    </row>
    <row r="315" spans="4:12" x14ac:dyDescent="0.2">
      <c r="D315" s="99"/>
      <c r="E315" s="99"/>
      <c r="F315" s="99"/>
      <c r="G315" s="99"/>
      <c r="H315" s="99"/>
      <c r="I315" s="99"/>
      <c r="J315" s="99"/>
      <c r="K315" s="99"/>
      <c r="L315" s="99"/>
    </row>
    <row r="316" spans="4:12" x14ac:dyDescent="0.2">
      <c r="D316" s="99"/>
      <c r="E316" s="99"/>
      <c r="F316" s="99"/>
      <c r="G316" s="99"/>
      <c r="H316" s="99"/>
      <c r="I316" s="99"/>
      <c r="J316" s="99"/>
      <c r="K316" s="99"/>
      <c r="L316" s="99"/>
    </row>
  </sheetData>
  <sheetProtection algorithmName="SHA-512" hashValue="zh8pEATl9RUjcjdCopVcwcOWHYNM1puuD5OZc/Bwhjx7xnKuxKPG+m+hx+5QCYyyEVv0xMmsbmgRB0NuDvJiOA==" saltValue="4EvOoxmPnJrTgYIv/6tTTw==" spinCount="100000" sheet="1" objects="1" scenarios="1"/>
  <mergeCells count="8">
    <mergeCell ref="J193:K193"/>
    <mergeCell ref="J13:K13"/>
    <mergeCell ref="J9:K9"/>
    <mergeCell ref="J52:K52"/>
    <mergeCell ref="J80:K80"/>
    <mergeCell ref="J86:K86"/>
    <mergeCell ref="J90:K90"/>
    <mergeCell ref="J111:K111"/>
  </mergeCells>
  <phoneticPr fontId="0" type="noConversion"/>
  <pageMargins left="0.43307086614173229" right="0.55118110236220474" top="0.9055118110236221" bottom="1.2598425196850394" header="0.51181102362204722" footer="0.51181102362204722"/>
  <pageSetup paperSize="9" firstPageNumber="104" fitToHeight="0" orientation="portrait" useFirstPageNumber="1" r:id="rId1"/>
  <headerFooter alignWithMargins="0">
    <oddHeader>&amp;L&amp;"Arial,Bold"GARÐABÆR - SVEINSKOT
GATNAGERÐ OG VEITUR&amp;R&amp;"Arial,Bold"TILBOÐSSKRÁ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1"/>
  <sheetViews>
    <sheetView zoomScale="77" workbookViewId="0">
      <pane ySplit="2" topLeftCell="A29" activePane="bottomLeft" state="frozen"/>
      <selection activeCell="G1" sqref="G1"/>
      <selection pane="bottomLeft" activeCell="J21" sqref="J21:K41"/>
    </sheetView>
  </sheetViews>
  <sheetFormatPr defaultRowHeight="15" x14ac:dyDescent="0.2"/>
  <cols>
    <col min="1" max="1" width="16" style="1" customWidth="1"/>
    <col min="2" max="13" width="15.7109375" style="1" customWidth="1"/>
    <col min="14" max="16384" width="9.140625" style="1"/>
  </cols>
  <sheetData>
    <row r="1" spans="1:13" ht="48.75" customHeight="1" x14ac:dyDescent="0.2">
      <c r="A1" s="200" t="s">
        <v>20</v>
      </c>
      <c r="B1" s="2" t="s">
        <v>24</v>
      </c>
      <c r="C1" s="2" t="s">
        <v>21</v>
      </c>
      <c r="D1" s="2" t="s">
        <v>23</v>
      </c>
      <c r="E1" s="2" t="s">
        <v>26</v>
      </c>
      <c r="F1" s="2" t="s">
        <v>25</v>
      </c>
      <c r="G1" s="27" t="s">
        <v>17</v>
      </c>
      <c r="H1" s="21" t="s">
        <v>24</v>
      </c>
      <c r="I1" s="2" t="s">
        <v>21</v>
      </c>
      <c r="J1" s="2" t="s">
        <v>23</v>
      </c>
      <c r="K1" s="2" t="s">
        <v>26</v>
      </c>
      <c r="L1" s="2" t="s">
        <v>25</v>
      </c>
      <c r="M1" s="3" t="s">
        <v>17</v>
      </c>
    </row>
    <row r="2" spans="1:13" ht="16.5" customHeight="1" thickBot="1" x14ac:dyDescent="0.25">
      <c r="A2" s="201"/>
      <c r="B2" s="4" t="s">
        <v>22</v>
      </c>
      <c r="C2" s="4" t="s">
        <v>22</v>
      </c>
      <c r="D2" s="4" t="s">
        <v>22</v>
      </c>
      <c r="E2" s="4" t="s">
        <v>22</v>
      </c>
      <c r="F2" s="4" t="s">
        <v>22</v>
      </c>
      <c r="G2" s="28" t="s">
        <v>22</v>
      </c>
      <c r="H2" s="22" t="s">
        <v>27</v>
      </c>
      <c r="I2" s="4" t="s">
        <v>27</v>
      </c>
      <c r="J2" s="4" t="s">
        <v>27</v>
      </c>
      <c r="K2" s="4" t="s">
        <v>27</v>
      </c>
      <c r="L2" s="4" t="s">
        <v>27</v>
      </c>
      <c r="M2" s="5" t="s">
        <v>27</v>
      </c>
    </row>
    <row r="3" spans="1:13" ht="39.950000000000003" customHeight="1" x14ac:dyDescent="0.2">
      <c r="A3" s="6">
        <v>560</v>
      </c>
      <c r="B3" s="7">
        <v>34247</v>
      </c>
      <c r="C3" s="8"/>
      <c r="D3" s="8">
        <f>345+341</f>
        <v>686</v>
      </c>
      <c r="E3" s="7">
        <v>18303</v>
      </c>
      <c r="F3" s="7">
        <v>11207</v>
      </c>
      <c r="G3" s="29">
        <v>3727</v>
      </c>
      <c r="H3" s="23">
        <f t="shared" ref="H3:M3" si="0">B3/1000*20</f>
        <v>684.94</v>
      </c>
      <c r="I3" s="9">
        <f t="shared" si="0"/>
        <v>0</v>
      </c>
      <c r="J3" s="9">
        <f t="shared" si="0"/>
        <v>13.72</v>
      </c>
      <c r="K3" s="9">
        <f t="shared" si="0"/>
        <v>366.06</v>
      </c>
      <c r="L3" s="9">
        <f t="shared" si="0"/>
        <v>224.14000000000001</v>
      </c>
      <c r="M3" s="10">
        <f t="shared" si="0"/>
        <v>74.539999999999992</v>
      </c>
    </row>
    <row r="4" spans="1:13" ht="39.950000000000003" customHeight="1" x14ac:dyDescent="0.2">
      <c r="A4" s="6">
        <v>580</v>
      </c>
      <c r="B4" s="7">
        <v>31720</v>
      </c>
      <c r="C4" s="8"/>
      <c r="D4" s="8">
        <f>345+341</f>
        <v>686</v>
      </c>
      <c r="E4" s="7">
        <v>17583</v>
      </c>
      <c r="F4" s="7">
        <v>10321</v>
      </c>
      <c r="G4" s="29">
        <v>3498</v>
      </c>
      <c r="H4" s="23">
        <f t="shared" ref="H4:M4" si="1">(B3/1000+B4/1000)/2*20</f>
        <v>659.67</v>
      </c>
      <c r="I4" s="9">
        <f t="shared" si="1"/>
        <v>0</v>
      </c>
      <c r="J4" s="9">
        <f t="shared" si="1"/>
        <v>13.72</v>
      </c>
      <c r="K4" s="9">
        <f t="shared" si="1"/>
        <v>358.85999999999996</v>
      </c>
      <c r="L4" s="9">
        <f t="shared" si="1"/>
        <v>215.27999999999997</v>
      </c>
      <c r="M4" s="10">
        <f t="shared" si="1"/>
        <v>72.25</v>
      </c>
    </row>
    <row r="5" spans="1:13" ht="39.950000000000003" customHeight="1" x14ac:dyDescent="0.2">
      <c r="A5" s="6">
        <v>600</v>
      </c>
      <c r="B5" s="7">
        <v>22010</v>
      </c>
      <c r="C5" s="8"/>
      <c r="D5" s="8">
        <f>345+341</f>
        <v>686</v>
      </c>
      <c r="E5" s="7">
        <v>19609</v>
      </c>
      <c r="F5" s="7">
        <v>7522</v>
      </c>
      <c r="G5" s="29">
        <v>2559</v>
      </c>
      <c r="H5" s="23">
        <f t="shared" ref="H5:H57" si="2">(B4/1000+B5/1000)/2*20</f>
        <v>537.30000000000007</v>
      </c>
      <c r="I5" s="9">
        <f t="shared" ref="I5:I57" si="3">(C4/1000+C5/1000)/2*20</f>
        <v>0</v>
      </c>
      <c r="J5" s="9">
        <f t="shared" ref="J5:J57" si="4">(D4/1000+D5/1000)/2*20</f>
        <v>13.72</v>
      </c>
      <c r="K5" s="9">
        <f t="shared" ref="K5:K57" si="5">(E4/1000+E5/1000)/2*20</f>
        <v>371.92</v>
      </c>
      <c r="L5" s="9">
        <f t="shared" ref="L5:L57" si="6">(F4/1000+F5/1000)/2*20</f>
        <v>178.43</v>
      </c>
      <c r="M5" s="10">
        <f t="shared" ref="M5:M57" si="7">(G4/1000+G5/1000)/2*20</f>
        <v>60.570000000000007</v>
      </c>
    </row>
    <row r="6" spans="1:13" ht="39.950000000000003" customHeight="1" x14ac:dyDescent="0.2">
      <c r="A6" s="6">
        <v>620</v>
      </c>
      <c r="B6" s="7">
        <v>23278</v>
      </c>
      <c r="C6" s="8"/>
      <c r="D6" s="8">
        <f>345+341</f>
        <v>686</v>
      </c>
      <c r="E6" s="7">
        <v>15120</v>
      </c>
      <c r="F6" s="7">
        <v>7390</v>
      </c>
      <c r="G6" s="29">
        <v>2536</v>
      </c>
      <c r="H6" s="23">
        <f t="shared" si="2"/>
        <v>452.88</v>
      </c>
      <c r="I6" s="9">
        <f t="shared" si="3"/>
        <v>0</v>
      </c>
      <c r="J6" s="9">
        <f t="shared" si="4"/>
        <v>13.72</v>
      </c>
      <c r="K6" s="9">
        <f t="shared" si="5"/>
        <v>347.28999999999996</v>
      </c>
      <c r="L6" s="9">
        <f t="shared" si="6"/>
        <v>149.12</v>
      </c>
      <c r="M6" s="10">
        <f t="shared" si="7"/>
        <v>50.95</v>
      </c>
    </row>
    <row r="7" spans="1:13" ht="39.950000000000003" customHeight="1" x14ac:dyDescent="0.2">
      <c r="A7" s="6">
        <v>640</v>
      </c>
      <c r="B7" s="7">
        <v>21715</v>
      </c>
      <c r="C7" s="8"/>
      <c r="D7" s="8">
        <f>1271+802</f>
        <v>2073</v>
      </c>
      <c r="E7" s="7">
        <v>25039</v>
      </c>
      <c r="F7" s="7">
        <v>7479</v>
      </c>
      <c r="G7" s="29">
        <v>2564</v>
      </c>
      <c r="H7" s="23">
        <f t="shared" si="2"/>
        <v>449.92999999999995</v>
      </c>
      <c r="I7" s="9">
        <f t="shared" si="3"/>
        <v>0</v>
      </c>
      <c r="J7" s="9">
        <f t="shared" si="4"/>
        <v>27.59</v>
      </c>
      <c r="K7" s="9">
        <f t="shared" si="5"/>
        <v>401.59</v>
      </c>
      <c r="L7" s="9">
        <f t="shared" si="6"/>
        <v>148.69</v>
      </c>
      <c r="M7" s="10">
        <f t="shared" si="7"/>
        <v>51</v>
      </c>
    </row>
    <row r="8" spans="1:13" ht="39.950000000000003" customHeight="1" x14ac:dyDescent="0.2">
      <c r="A8" s="6">
        <v>660</v>
      </c>
      <c r="B8" s="7">
        <v>23111</v>
      </c>
      <c r="C8" s="8"/>
      <c r="D8" s="8">
        <f>750+420</f>
        <v>1170</v>
      </c>
      <c r="E8" s="7">
        <v>18999</v>
      </c>
      <c r="F8" s="7">
        <v>7690</v>
      </c>
      <c r="G8" s="29">
        <v>2638</v>
      </c>
      <c r="H8" s="23">
        <f t="shared" si="2"/>
        <v>448.26</v>
      </c>
      <c r="I8" s="9">
        <f t="shared" si="3"/>
        <v>0</v>
      </c>
      <c r="J8" s="9">
        <f t="shared" si="4"/>
        <v>32.43</v>
      </c>
      <c r="K8" s="9">
        <f t="shared" si="5"/>
        <v>440.38</v>
      </c>
      <c r="L8" s="9">
        <f t="shared" si="6"/>
        <v>151.69</v>
      </c>
      <c r="M8" s="10">
        <f t="shared" si="7"/>
        <v>52.019999999999996</v>
      </c>
    </row>
    <row r="9" spans="1:13" ht="39.950000000000003" customHeight="1" x14ac:dyDescent="0.2">
      <c r="A9" s="6">
        <v>680</v>
      </c>
      <c r="B9" s="7">
        <v>22736</v>
      </c>
      <c r="C9" s="8"/>
      <c r="D9" s="8">
        <f>1903+873</f>
        <v>2776</v>
      </c>
      <c r="E9" s="7">
        <v>29068</v>
      </c>
      <c r="F9" s="7">
        <v>7778</v>
      </c>
      <c r="G9" s="29">
        <v>2670</v>
      </c>
      <c r="H9" s="23">
        <f t="shared" si="2"/>
        <v>458.47</v>
      </c>
      <c r="I9" s="9">
        <f t="shared" si="3"/>
        <v>0</v>
      </c>
      <c r="J9" s="9">
        <f t="shared" si="4"/>
        <v>39.459999999999994</v>
      </c>
      <c r="K9" s="9">
        <f t="shared" si="5"/>
        <v>480.67</v>
      </c>
      <c r="L9" s="9">
        <f t="shared" si="6"/>
        <v>154.68</v>
      </c>
      <c r="M9" s="10">
        <f t="shared" si="7"/>
        <v>53.08</v>
      </c>
    </row>
    <row r="10" spans="1:13" ht="39.950000000000003" customHeight="1" x14ac:dyDescent="0.2">
      <c r="A10" s="6">
        <v>700</v>
      </c>
      <c r="B10" s="7">
        <v>29068</v>
      </c>
      <c r="C10" s="8"/>
      <c r="D10" s="8">
        <f>3613+2090</f>
        <v>5703</v>
      </c>
      <c r="E10" s="7">
        <v>39920</v>
      </c>
      <c r="F10" s="7">
        <v>7778</v>
      </c>
      <c r="G10" s="29">
        <v>2670</v>
      </c>
      <c r="H10" s="23">
        <f t="shared" si="2"/>
        <v>518.04</v>
      </c>
      <c r="I10" s="9">
        <f t="shared" si="3"/>
        <v>0</v>
      </c>
      <c r="J10" s="9">
        <f t="shared" si="4"/>
        <v>84.789999999999992</v>
      </c>
      <c r="K10" s="9">
        <f t="shared" si="5"/>
        <v>689.88</v>
      </c>
      <c r="L10" s="9">
        <f t="shared" si="6"/>
        <v>155.56</v>
      </c>
      <c r="M10" s="10">
        <f t="shared" si="7"/>
        <v>53.4</v>
      </c>
    </row>
    <row r="11" spans="1:13" ht="39.950000000000003" customHeight="1" x14ac:dyDescent="0.2">
      <c r="A11" s="6">
        <v>720</v>
      </c>
      <c r="B11" s="7">
        <v>25198</v>
      </c>
      <c r="C11" s="8"/>
      <c r="D11" s="8">
        <f>5616+4203</f>
        <v>9819</v>
      </c>
      <c r="E11" s="7">
        <v>52081</v>
      </c>
      <c r="F11" s="7">
        <v>7747</v>
      </c>
      <c r="G11" s="29">
        <v>2655</v>
      </c>
      <c r="H11" s="23">
        <f t="shared" si="2"/>
        <v>542.66000000000008</v>
      </c>
      <c r="I11" s="9">
        <f t="shared" si="3"/>
        <v>0</v>
      </c>
      <c r="J11" s="9">
        <f t="shared" si="4"/>
        <v>155.22000000000003</v>
      </c>
      <c r="K11" s="9">
        <f t="shared" si="5"/>
        <v>920.01</v>
      </c>
      <c r="L11" s="9">
        <f t="shared" si="6"/>
        <v>155.25</v>
      </c>
      <c r="M11" s="10">
        <f t="shared" si="7"/>
        <v>53.249999999999993</v>
      </c>
    </row>
    <row r="12" spans="1:13" ht="39.950000000000003" customHeight="1" x14ac:dyDescent="0.2">
      <c r="A12" s="6">
        <v>740</v>
      </c>
      <c r="B12" s="7">
        <v>23940</v>
      </c>
      <c r="C12" s="8"/>
      <c r="D12" s="8">
        <f>4716+3414</f>
        <v>8130</v>
      </c>
      <c r="E12" s="7">
        <v>45174</v>
      </c>
      <c r="F12" s="7">
        <v>7740</v>
      </c>
      <c r="G12" s="29">
        <v>2654</v>
      </c>
      <c r="H12" s="23">
        <f t="shared" si="2"/>
        <v>491.38000000000005</v>
      </c>
      <c r="I12" s="9">
        <f t="shared" si="3"/>
        <v>0</v>
      </c>
      <c r="J12" s="9">
        <f t="shared" si="4"/>
        <v>179.49</v>
      </c>
      <c r="K12" s="9">
        <f t="shared" si="5"/>
        <v>972.55</v>
      </c>
      <c r="L12" s="9">
        <f t="shared" si="6"/>
        <v>154.87</v>
      </c>
      <c r="M12" s="10">
        <f t="shared" si="7"/>
        <v>53.089999999999989</v>
      </c>
    </row>
    <row r="13" spans="1:13" ht="39.950000000000003" customHeight="1" x14ac:dyDescent="0.2">
      <c r="A13" s="6">
        <v>760</v>
      </c>
      <c r="B13" s="7">
        <v>23133</v>
      </c>
      <c r="C13" s="8"/>
      <c r="D13" s="8">
        <f>5828+2997</f>
        <v>8825</v>
      </c>
      <c r="E13" s="7">
        <v>49560</v>
      </c>
      <c r="F13" s="7">
        <v>7742</v>
      </c>
      <c r="G13" s="29">
        <v>2654</v>
      </c>
      <c r="H13" s="23">
        <f t="shared" si="2"/>
        <v>470.73</v>
      </c>
      <c r="I13" s="9">
        <f t="shared" si="3"/>
        <v>0</v>
      </c>
      <c r="J13" s="9">
        <f t="shared" si="4"/>
        <v>169.54999999999998</v>
      </c>
      <c r="K13" s="9">
        <f t="shared" si="5"/>
        <v>947.34000000000015</v>
      </c>
      <c r="L13" s="9">
        <f t="shared" si="6"/>
        <v>154.82</v>
      </c>
      <c r="M13" s="10">
        <f t="shared" si="7"/>
        <v>53.08</v>
      </c>
    </row>
    <row r="14" spans="1:13" ht="39.950000000000003" customHeight="1" x14ac:dyDescent="0.2">
      <c r="A14" s="6">
        <v>780</v>
      </c>
      <c r="B14" s="7">
        <v>23728</v>
      </c>
      <c r="C14" s="8"/>
      <c r="D14" s="8">
        <f>6171+5552</f>
        <v>11723</v>
      </c>
      <c r="E14" s="7">
        <v>55337</v>
      </c>
      <c r="F14" s="7">
        <v>7721</v>
      </c>
      <c r="G14" s="29">
        <v>2670</v>
      </c>
      <c r="H14" s="23">
        <f t="shared" si="2"/>
        <v>468.61</v>
      </c>
      <c r="I14" s="9">
        <f t="shared" si="3"/>
        <v>0</v>
      </c>
      <c r="J14" s="9">
        <f t="shared" si="4"/>
        <v>205.48000000000002</v>
      </c>
      <c r="K14" s="9">
        <f t="shared" si="5"/>
        <v>1048.97</v>
      </c>
      <c r="L14" s="9">
        <f t="shared" si="6"/>
        <v>154.63</v>
      </c>
      <c r="M14" s="10">
        <f t="shared" si="7"/>
        <v>53.239999999999995</v>
      </c>
    </row>
    <row r="15" spans="1:13" ht="39.950000000000003" customHeight="1" x14ac:dyDescent="0.2">
      <c r="A15" s="6">
        <v>800</v>
      </c>
      <c r="B15" s="7">
        <v>23642</v>
      </c>
      <c r="C15" s="8"/>
      <c r="D15" s="8">
        <f>7897+4245</f>
        <v>12142</v>
      </c>
      <c r="E15" s="7">
        <v>54305</v>
      </c>
      <c r="F15" s="7">
        <v>7721</v>
      </c>
      <c r="G15" s="29">
        <v>2670</v>
      </c>
      <c r="H15" s="23">
        <f t="shared" si="2"/>
        <v>473.70000000000005</v>
      </c>
      <c r="I15" s="9">
        <f t="shared" si="3"/>
        <v>0</v>
      </c>
      <c r="J15" s="9">
        <f t="shared" si="4"/>
        <v>238.65000000000003</v>
      </c>
      <c r="K15" s="9">
        <f t="shared" si="5"/>
        <v>1096.42</v>
      </c>
      <c r="L15" s="9">
        <f t="shared" si="6"/>
        <v>154.42000000000002</v>
      </c>
      <c r="M15" s="10">
        <f t="shared" si="7"/>
        <v>53.4</v>
      </c>
    </row>
    <row r="16" spans="1:13" ht="39.950000000000003" customHeight="1" x14ac:dyDescent="0.2">
      <c r="A16" s="6">
        <v>820</v>
      </c>
      <c r="B16" s="7">
        <v>15502</v>
      </c>
      <c r="C16" s="8"/>
      <c r="D16" s="8">
        <f>5783+3228</f>
        <v>9011</v>
      </c>
      <c r="E16" s="7">
        <v>40209</v>
      </c>
      <c r="F16" s="7">
        <v>7722</v>
      </c>
      <c r="G16" s="29">
        <v>2670</v>
      </c>
      <c r="H16" s="23">
        <f t="shared" si="2"/>
        <v>391.44</v>
      </c>
      <c r="I16" s="9">
        <f t="shared" si="3"/>
        <v>0</v>
      </c>
      <c r="J16" s="9">
        <f t="shared" si="4"/>
        <v>211.52999999999997</v>
      </c>
      <c r="K16" s="9">
        <f t="shared" si="5"/>
        <v>945.1400000000001</v>
      </c>
      <c r="L16" s="9">
        <f t="shared" si="6"/>
        <v>154.43</v>
      </c>
      <c r="M16" s="10">
        <f t="shared" si="7"/>
        <v>53.4</v>
      </c>
    </row>
    <row r="17" spans="1:13" ht="39.950000000000003" customHeight="1" x14ac:dyDescent="0.2">
      <c r="A17" s="6">
        <v>840</v>
      </c>
      <c r="B17" s="7">
        <v>19649</v>
      </c>
      <c r="C17" s="8"/>
      <c r="D17" s="8">
        <f>7787+4009</f>
        <v>11796</v>
      </c>
      <c r="E17" s="7">
        <v>49209</v>
      </c>
      <c r="F17" s="7">
        <v>7789</v>
      </c>
      <c r="G17" s="29">
        <v>2670</v>
      </c>
      <c r="H17" s="23">
        <f t="shared" si="2"/>
        <v>351.51000000000005</v>
      </c>
      <c r="I17" s="9">
        <f t="shared" si="3"/>
        <v>0</v>
      </c>
      <c r="J17" s="9">
        <f t="shared" si="4"/>
        <v>208.07</v>
      </c>
      <c r="K17" s="9">
        <f t="shared" si="5"/>
        <v>894.18000000000006</v>
      </c>
      <c r="L17" s="9">
        <f t="shared" si="6"/>
        <v>155.10999999999999</v>
      </c>
      <c r="M17" s="10">
        <f t="shared" si="7"/>
        <v>53.4</v>
      </c>
    </row>
    <row r="18" spans="1:13" ht="39.950000000000003" customHeight="1" x14ac:dyDescent="0.2">
      <c r="A18" s="6">
        <v>860</v>
      </c>
      <c r="B18" s="7">
        <v>24166</v>
      </c>
      <c r="C18" s="8"/>
      <c r="D18" s="8">
        <f>11532+3399</f>
        <v>14931</v>
      </c>
      <c r="E18" s="7">
        <v>55883</v>
      </c>
      <c r="F18" s="7">
        <v>7778</v>
      </c>
      <c r="G18" s="29">
        <v>2670</v>
      </c>
      <c r="H18" s="23">
        <f t="shared" si="2"/>
        <v>438.15</v>
      </c>
      <c r="I18" s="9">
        <f t="shared" si="3"/>
        <v>0</v>
      </c>
      <c r="J18" s="9">
        <f t="shared" si="4"/>
        <v>267.27</v>
      </c>
      <c r="K18" s="9">
        <f t="shared" si="5"/>
        <v>1050.92</v>
      </c>
      <c r="L18" s="9">
        <f t="shared" si="6"/>
        <v>155.67000000000002</v>
      </c>
      <c r="M18" s="10">
        <f t="shared" si="7"/>
        <v>53.4</v>
      </c>
    </row>
    <row r="19" spans="1:13" ht="39.950000000000003" customHeight="1" x14ac:dyDescent="0.2">
      <c r="A19" s="6">
        <v>880</v>
      </c>
      <c r="B19" s="7">
        <v>19156</v>
      </c>
      <c r="C19" s="8"/>
      <c r="D19" s="8">
        <f>13929+1399</f>
        <v>15328</v>
      </c>
      <c r="E19" s="7">
        <v>45089</v>
      </c>
      <c r="F19" s="7">
        <v>7560</v>
      </c>
      <c r="G19" s="29">
        <v>2594</v>
      </c>
      <c r="H19" s="23">
        <f t="shared" si="2"/>
        <v>433.22</v>
      </c>
      <c r="I19" s="9">
        <f t="shared" si="3"/>
        <v>0</v>
      </c>
      <c r="J19" s="9">
        <f t="shared" si="4"/>
        <v>302.59000000000003</v>
      </c>
      <c r="K19" s="9">
        <f t="shared" si="5"/>
        <v>1009.72</v>
      </c>
      <c r="L19" s="9">
        <f t="shared" si="6"/>
        <v>153.38</v>
      </c>
      <c r="M19" s="10">
        <f t="shared" si="7"/>
        <v>52.639999999999993</v>
      </c>
    </row>
    <row r="20" spans="1:13" ht="39.950000000000003" customHeight="1" x14ac:dyDescent="0.2">
      <c r="A20" s="6">
        <v>900</v>
      </c>
      <c r="B20" s="7">
        <v>18254</v>
      </c>
      <c r="C20" s="7">
        <v>1022</v>
      </c>
      <c r="D20" s="8">
        <f>86+14158</f>
        <v>14244</v>
      </c>
      <c r="E20" s="7">
        <v>13831</v>
      </c>
      <c r="F20" s="7">
        <v>6958</v>
      </c>
      <c r="G20" s="29">
        <v>2535</v>
      </c>
      <c r="H20" s="23">
        <f t="shared" si="2"/>
        <v>374.09999999999997</v>
      </c>
      <c r="I20" s="9">
        <f t="shared" si="3"/>
        <v>10.220000000000001</v>
      </c>
      <c r="J20" s="9">
        <f t="shared" si="4"/>
        <v>295.71999999999997</v>
      </c>
      <c r="K20" s="9">
        <f t="shared" si="5"/>
        <v>589.20000000000005</v>
      </c>
      <c r="L20" s="9">
        <f t="shared" si="6"/>
        <v>145.18</v>
      </c>
      <c r="M20" s="10">
        <f t="shared" si="7"/>
        <v>51.289999999999992</v>
      </c>
    </row>
    <row r="21" spans="1:13" ht="39.950000000000003" customHeight="1" x14ac:dyDescent="0.2">
      <c r="A21" s="6">
        <v>920</v>
      </c>
      <c r="B21" s="7">
        <v>16634</v>
      </c>
      <c r="C21" s="7">
        <v>3483</v>
      </c>
      <c r="D21" s="8">
        <f>33+3216</f>
        <v>3249</v>
      </c>
      <c r="E21" s="7">
        <v>4899</v>
      </c>
      <c r="F21" s="7">
        <v>5512</v>
      </c>
      <c r="G21" s="29">
        <v>2585</v>
      </c>
      <c r="H21" s="23">
        <f t="shared" si="2"/>
        <v>348.88000000000005</v>
      </c>
      <c r="I21" s="9">
        <f t="shared" si="3"/>
        <v>45.05</v>
      </c>
      <c r="J21" s="9">
        <f t="shared" si="4"/>
        <v>174.92999999999998</v>
      </c>
      <c r="K21" s="9">
        <f t="shared" si="5"/>
        <v>187.3</v>
      </c>
      <c r="L21" s="9">
        <f t="shared" si="6"/>
        <v>124.69999999999999</v>
      </c>
      <c r="M21" s="10">
        <f t="shared" si="7"/>
        <v>51.2</v>
      </c>
    </row>
    <row r="22" spans="1:13" ht="39.950000000000003" customHeight="1" x14ac:dyDescent="0.2">
      <c r="A22" s="6">
        <v>940</v>
      </c>
      <c r="B22" s="7">
        <v>14780</v>
      </c>
      <c r="C22" s="7">
        <v>5725</v>
      </c>
      <c r="D22" s="8">
        <f>34+6160</f>
        <v>6194</v>
      </c>
      <c r="E22" s="7">
        <v>10039</v>
      </c>
      <c r="F22" s="7">
        <v>5321</v>
      </c>
      <c r="G22" s="29">
        <v>2660</v>
      </c>
      <c r="H22" s="23">
        <f t="shared" si="2"/>
        <v>314.14</v>
      </c>
      <c r="I22" s="9">
        <f t="shared" si="3"/>
        <v>92.08</v>
      </c>
      <c r="J22" s="9">
        <f t="shared" si="4"/>
        <v>94.429999999999993</v>
      </c>
      <c r="K22" s="9">
        <f t="shared" si="5"/>
        <v>149.38</v>
      </c>
      <c r="L22" s="9">
        <f t="shared" si="6"/>
        <v>108.32999999999998</v>
      </c>
      <c r="M22" s="10">
        <f t="shared" si="7"/>
        <v>52.45</v>
      </c>
    </row>
    <row r="23" spans="1:13" ht="39.950000000000003" customHeight="1" x14ac:dyDescent="0.2">
      <c r="A23" s="6">
        <v>960</v>
      </c>
      <c r="B23" s="7">
        <v>16071</v>
      </c>
      <c r="C23" s="7">
        <v>2250</v>
      </c>
      <c r="D23" s="8">
        <f>73+22712</f>
        <v>22785</v>
      </c>
      <c r="E23" s="7">
        <v>29269</v>
      </c>
      <c r="F23" s="7">
        <v>6548</v>
      </c>
      <c r="G23" s="29">
        <v>2931</v>
      </c>
      <c r="H23" s="23">
        <f t="shared" si="2"/>
        <v>308.51</v>
      </c>
      <c r="I23" s="9">
        <f t="shared" si="3"/>
        <v>79.75</v>
      </c>
      <c r="J23" s="9">
        <f t="shared" si="4"/>
        <v>289.78999999999996</v>
      </c>
      <c r="K23" s="9">
        <f t="shared" si="5"/>
        <v>393.08</v>
      </c>
      <c r="L23" s="9">
        <f t="shared" si="6"/>
        <v>118.69</v>
      </c>
      <c r="M23" s="10">
        <f t="shared" si="7"/>
        <v>55.910000000000004</v>
      </c>
    </row>
    <row r="24" spans="1:13" ht="39.950000000000003" customHeight="1" x14ac:dyDescent="0.2">
      <c r="A24" s="6">
        <v>980</v>
      </c>
      <c r="B24" s="7">
        <v>13042</v>
      </c>
      <c r="C24" s="7"/>
      <c r="D24" s="8">
        <f>1093+50380</f>
        <v>51473</v>
      </c>
      <c r="E24" s="7">
        <v>73463</v>
      </c>
      <c r="F24" s="7">
        <v>8790</v>
      </c>
      <c r="G24" s="29">
        <v>3053</v>
      </c>
      <c r="H24" s="23">
        <f t="shared" si="2"/>
        <v>291.13</v>
      </c>
      <c r="I24" s="9">
        <f t="shared" si="3"/>
        <v>22.5</v>
      </c>
      <c r="J24" s="9">
        <f t="shared" si="4"/>
        <v>742.57999999999993</v>
      </c>
      <c r="K24" s="9">
        <f t="shared" si="5"/>
        <v>1027.32</v>
      </c>
      <c r="L24" s="9">
        <f t="shared" si="6"/>
        <v>153.38</v>
      </c>
      <c r="M24" s="10">
        <f t="shared" si="7"/>
        <v>59.84</v>
      </c>
    </row>
    <row r="25" spans="1:13" ht="39.950000000000003" customHeight="1" x14ac:dyDescent="0.2">
      <c r="A25" s="6">
        <v>1000</v>
      </c>
      <c r="B25" s="7">
        <v>11627</v>
      </c>
      <c r="C25" s="8"/>
      <c r="D25" s="8">
        <f>1114+9092</f>
        <v>10206</v>
      </c>
      <c r="E25" s="7">
        <v>34788</v>
      </c>
      <c r="F25" s="7">
        <v>9607</v>
      </c>
      <c r="G25" s="29">
        <v>3336</v>
      </c>
      <c r="H25" s="23">
        <f t="shared" si="2"/>
        <v>246.69</v>
      </c>
      <c r="I25" s="9">
        <f t="shared" si="3"/>
        <v>0</v>
      </c>
      <c r="J25" s="9">
        <f t="shared" si="4"/>
        <v>616.79</v>
      </c>
      <c r="K25" s="9">
        <f t="shared" si="5"/>
        <v>1082.51</v>
      </c>
      <c r="L25" s="9">
        <f t="shared" si="6"/>
        <v>183.96999999999997</v>
      </c>
      <c r="M25" s="10">
        <f t="shared" si="7"/>
        <v>63.889999999999993</v>
      </c>
    </row>
    <row r="26" spans="1:13" ht="39.950000000000003" customHeight="1" x14ac:dyDescent="0.2">
      <c r="A26" s="6">
        <v>1020</v>
      </c>
      <c r="B26" s="7">
        <v>6870</v>
      </c>
      <c r="C26" s="8"/>
      <c r="D26" s="8">
        <f>870+1247</f>
        <v>2117</v>
      </c>
      <c r="E26" s="7">
        <v>12681</v>
      </c>
      <c r="F26" s="7">
        <v>10186</v>
      </c>
      <c r="G26" s="29">
        <v>3992</v>
      </c>
      <c r="H26" s="23">
        <f t="shared" si="2"/>
        <v>184.97</v>
      </c>
      <c r="I26" s="9">
        <f t="shared" si="3"/>
        <v>0</v>
      </c>
      <c r="J26" s="9">
        <f t="shared" si="4"/>
        <v>123.23</v>
      </c>
      <c r="K26" s="9">
        <f t="shared" si="5"/>
        <v>474.68999999999994</v>
      </c>
      <c r="L26" s="9">
        <f t="shared" si="6"/>
        <v>197.93</v>
      </c>
      <c r="M26" s="10">
        <f t="shared" si="7"/>
        <v>73.28</v>
      </c>
    </row>
    <row r="27" spans="1:13" ht="39.950000000000003" customHeight="1" x14ac:dyDescent="0.2">
      <c r="A27" s="6">
        <v>1040</v>
      </c>
      <c r="B27" s="7">
        <v>37524</v>
      </c>
      <c r="C27" s="8"/>
      <c r="D27" s="8">
        <f>653+15270</f>
        <v>15923</v>
      </c>
      <c r="E27" s="7">
        <v>61746</v>
      </c>
      <c r="F27" s="7">
        <v>28413</v>
      </c>
      <c r="G27" s="29">
        <v>9547</v>
      </c>
      <c r="H27" s="23">
        <f t="shared" si="2"/>
        <v>443.94</v>
      </c>
      <c r="I27" s="9">
        <f t="shared" si="3"/>
        <v>0</v>
      </c>
      <c r="J27" s="9">
        <f t="shared" si="4"/>
        <v>180.39999999999998</v>
      </c>
      <c r="K27" s="9">
        <f t="shared" si="5"/>
        <v>744.2700000000001</v>
      </c>
      <c r="L27" s="9">
        <f t="shared" si="6"/>
        <v>385.99</v>
      </c>
      <c r="M27" s="10">
        <f t="shared" si="7"/>
        <v>135.39000000000001</v>
      </c>
    </row>
    <row r="28" spans="1:13" ht="39.950000000000003" customHeight="1" x14ac:dyDescent="0.2">
      <c r="A28" s="6">
        <v>1060</v>
      </c>
      <c r="B28" s="7">
        <v>50436</v>
      </c>
      <c r="C28" s="8"/>
      <c r="D28" s="8">
        <f>1430+3647</f>
        <v>5077</v>
      </c>
      <c r="E28" s="7">
        <v>89370</v>
      </c>
      <c r="F28" s="7">
        <v>25181</v>
      </c>
      <c r="G28" s="29">
        <v>8469</v>
      </c>
      <c r="H28" s="23">
        <f t="shared" si="2"/>
        <v>879.60000000000014</v>
      </c>
      <c r="I28" s="9">
        <f t="shared" si="3"/>
        <v>0</v>
      </c>
      <c r="J28" s="9">
        <f t="shared" si="4"/>
        <v>210</v>
      </c>
      <c r="K28" s="9">
        <f t="shared" si="5"/>
        <v>1511.16</v>
      </c>
      <c r="L28" s="9">
        <f t="shared" si="6"/>
        <v>535.94000000000005</v>
      </c>
      <c r="M28" s="10">
        <f t="shared" si="7"/>
        <v>180.15999999999997</v>
      </c>
    </row>
    <row r="29" spans="1:13" ht="39.950000000000003" customHeight="1" x14ac:dyDescent="0.2">
      <c r="A29" s="6">
        <v>1080</v>
      </c>
      <c r="B29" s="7">
        <v>19268</v>
      </c>
      <c r="C29" s="8"/>
      <c r="D29" s="8">
        <f>160+1860</f>
        <v>2020</v>
      </c>
      <c r="E29" s="7">
        <v>16084</v>
      </c>
      <c r="F29" s="7">
        <v>11603</v>
      </c>
      <c r="G29" s="29">
        <v>3943</v>
      </c>
      <c r="H29" s="23">
        <f t="shared" si="2"/>
        <v>697.04000000000008</v>
      </c>
      <c r="I29" s="9">
        <f t="shared" si="3"/>
        <v>0</v>
      </c>
      <c r="J29" s="9">
        <f t="shared" si="4"/>
        <v>70.97</v>
      </c>
      <c r="K29" s="9">
        <f t="shared" si="5"/>
        <v>1054.54</v>
      </c>
      <c r="L29" s="9">
        <f t="shared" si="6"/>
        <v>367.84</v>
      </c>
      <c r="M29" s="10">
        <f t="shared" si="7"/>
        <v>124.11999999999999</v>
      </c>
    </row>
    <row r="30" spans="1:13" ht="39.950000000000003" customHeight="1" x14ac:dyDescent="0.2">
      <c r="A30" s="6">
        <v>1100</v>
      </c>
      <c r="B30" s="7">
        <f>13502+765</f>
        <v>14267</v>
      </c>
      <c r="C30" s="7">
        <v>5195</v>
      </c>
      <c r="D30" s="8">
        <f>32+231</f>
        <v>263</v>
      </c>
      <c r="E30" s="7">
        <v>242</v>
      </c>
      <c r="F30" s="7">
        <v>10557</v>
      </c>
      <c r="G30" s="29">
        <v>3618</v>
      </c>
      <c r="H30" s="23">
        <f t="shared" si="2"/>
        <v>335.34999999999997</v>
      </c>
      <c r="I30" s="9">
        <f t="shared" si="3"/>
        <v>51.95</v>
      </c>
      <c r="J30" s="9">
        <f t="shared" si="4"/>
        <v>22.83</v>
      </c>
      <c r="K30" s="9">
        <f t="shared" si="5"/>
        <v>163.26</v>
      </c>
      <c r="L30" s="9">
        <f t="shared" si="6"/>
        <v>221.6</v>
      </c>
      <c r="M30" s="10">
        <f t="shared" si="7"/>
        <v>75.61</v>
      </c>
    </row>
    <row r="31" spans="1:13" ht="39.950000000000003" customHeight="1" thickBot="1" x14ac:dyDescent="0.3">
      <c r="A31" s="33" t="s">
        <v>28</v>
      </c>
      <c r="B31" s="34"/>
      <c r="C31" s="34"/>
      <c r="D31" s="34"/>
      <c r="E31" s="34"/>
      <c r="F31" s="34"/>
      <c r="G31" s="35"/>
      <c r="H31" s="34">
        <f t="shared" ref="H31:M31" si="8">SUM(H3:H30)</f>
        <v>12695.24</v>
      </c>
      <c r="I31" s="34">
        <f t="shared" si="8"/>
        <v>301.55</v>
      </c>
      <c r="J31" s="34">
        <f t="shared" si="8"/>
        <v>4998.6699999999992</v>
      </c>
      <c r="K31" s="34">
        <f t="shared" si="8"/>
        <v>19718.609999999997</v>
      </c>
      <c r="L31" s="34">
        <f t="shared" si="8"/>
        <v>5313.7199999999993</v>
      </c>
      <c r="M31" s="34">
        <f t="shared" si="8"/>
        <v>1869.8499999999997</v>
      </c>
    </row>
    <row r="32" spans="1:13" ht="39.950000000000003" customHeight="1" thickTop="1" x14ac:dyDescent="0.2">
      <c r="A32" s="6"/>
      <c r="B32" s="7"/>
      <c r="C32" s="7"/>
      <c r="D32" s="8"/>
      <c r="E32" s="7"/>
      <c r="F32" s="7"/>
      <c r="G32" s="29"/>
      <c r="H32" s="23"/>
      <c r="I32" s="9"/>
      <c r="J32" s="9"/>
      <c r="K32" s="9"/>
      <c r="L32" s="9"/>
      <c r="M32" s="10"/>
    </row>
    <row r="33" spans="1:13" ht="39.950000000000003" customHeight="1" x14ac:dyDescent="0.2">
      <c r="A33" s="6">
        <v>1120</v>
      </c>
      <c r="B33" s="7">
        <v>12240</v>
      </c>
      <c r="C33" s="7">
        <v>34133</v>
      </c>
      <c r="D33" s="8">
        <f>34+31</f>
        <v>65</v>
      </c>
      <c r="E33" s="8"/>
      <c r="F33" s="7">
        <v>6369</v>
      </c>
      <c r="G33" s="29">
        <v>3365</v>
      </c>
      <c r="H33" s="23">
        <f t="shared" ref="H33:M33" si="9">(B30/1000+B33/1000)/2*20</f>
        <v>265.07</v>
      </c>
      <c r="I33" s="9">
        <f t="shared" si="9"/>
        <v>393.28000000000003</v>
      </c>
      <c r="J33" s="9">
        <f t="shared" si="9"/>
        <v>3.2800000000000002</v>
      </c>
      <c r="K33" s="9">
        <f t="shared" si="9"/>
        <v>2.42</v>
      </c>
      <c r="L33" s="9">
        <f t="shared" si="9"/>
        <v>169.26000000000002</v>
      </c>
      <c r="M33" s="10">
        <f t="shared" si="9"/>
        <v>69.830000000000013</v>
      </c>
    </row>
    <row r="34" spans="1:13" ht="39.950000000000003" customHeight="1" x14ac:dyDescent="0.2">
      <c r="A34" s="6">
        <v>1140</v>
      </c>
      <c r="B34" s="7">
        <v>7141</v>
      </c>
      <c r="C34" s="7">
        <v>36520</v>
      </c>
      <c r="D34" s="8">
        <f>34+31</f>
        <v>65</v>
      </c>
      <c r="E34" s="8"/>
      <c r="F34" s="7">
        <v>4036</v>
      </c>
      <c r="G34" s="29">
        <v>3108</v>
      </c>
      <c r="H34" s="23">
        <f t="shared" si="2"/>
        <v>193.81</v>
      </c>
      <c r="I34" s="9">
        <f t="shared" si="3"/>
        <v>706.53000000000009</v>
      </c>
      <c r="J34" s="9">
        <f t="shared" si="4"/>
        <v>1.3</v>
      </c>
      <c r="K34" s="9">
        <f t="shared" si="5"/>
        <v>0</v>
      </c>
      <c r="L34" s="9">
        <f t="shared" si="6"/>
        <v>104.05</v>
      </c>
      <c r="M34" s="10">
        <f t="shared" si="7"/>
        <v>64.73</v>
      </c>
    </row>
    <row r="35" spans="1:13" ht="39.950000000000003" customHeight="1" x14ac:dyDescent="0.2">
      <c r="A35" s="6">
        <v>1160</v>
      </c>
      <c r="B35" s="7">
        <v>7282</v>
      </c>
      <c r="C35" s="7">
        <v>41473</v>
      </c>
      <c r="D35" s="8">
        <f>34+31</f>
        <v>65</v>
      </c>
      <c r="E35" s="8"/>
      <c r="F35" s="7">
        <v>3209</v>
      </c>
      <c r="G35" s="29">
        <v>2845</v>
      </c>
      <c r="H35" s="23">
        <f t="shared" si="2"/>
        <v>144.22999999999999</v>
      </c>
      <c r="I35" s="9">
        <f t="shared" si="3"/>
        <v>779.93</v>
      </c>
      <c r="J35" s="9">
        <f t="shared" si="4"/>
        <v>1.3</v>
      </c>
      <c r="K35" s="9">
        <f t="shared" si="5"/>
        <v>0</v>
      </c>
      <c r="L35" s="9">
        <f t="shared" si="6"/>
        <v>72.449999999999989</v>
      </c>
      <c r="M35" s="10">
        <f t="shared" si="7"/>
        <v>59.53</v>
      </c>
    </row>
    <row r="36" spans="1:13" ht="39.950000000000003" customHeight="1" x14ac:dyDescent="0.2">
      <c r="A36" s="6">
        <v>1180</v>
      </c>
      <c r="B36" s="7">
        <v>1522</v>
      </c>
      <c r="C36" s="7">
        <v>14734</v>
      </c>
      <c r="D36" s="8">
        <f>34+31</f>
        <v>65</v>
      </c>
      <c r="E36" s="8"/>
      <c r="F36" s="7">
        <v>3516</v>
      </c>
      <c r="G36" s="29">
        <v>2631</v>
      </c>
      <c r="H36" s="23">
        <f t="shared" si="2"/>
        <v>88.04</v>
      </c>
      <c r="I36" s="9">
        <f t="shared" si="3"/>
        <v>562.07000000000005</v>
      </c>
      <c r="J36" s="9">
        <f t="shared" si="4"/>
        <v>1.3</v>
      </c>
      <c r="K36" s="9">
        <f t="shared" si="5"/>
        <v>0</v>
      </c>
      <c r="L36" s="9">
        <f t="shared" si="6"/>
        <v>67.25</v>
      </c>
      <c r="M36" s="10">
        <f t="shared" si="7"/>
        <v>54.76</v>
      </c>
    </row>
    <row r="37" spans="1:13" ht="39.950000000000003" customHeight="1" x14ac:dyDescent="0.2">
      <c r="A37" s="6">
        <v>1200</v>
      </c>
      <c r="B37" s="7">
        <v>5690</v>
      </c>
      <c r="C37" s="7">
        <v>902</v>
      </c>
      <c r="D37" s="8">
        <f>142+1599</f>
        <v>1741</v>
      </c>
      <c r="E37" s="7">
        <v>4407</v>
      </c>
      <c r="F37" s="7">
        <v>7635</v>
      </c>
      <c r="G37" s="29">
        <v>2635</v>
      </c>
      <c r="H37" s="23">
        <f t="shared" si="2"/>
        <v>72.12</v>
      </c>
      <c r="I37" s="9">
        <f t="shared" si="3"/>
        <v>156.35999999999999</v>
      </c>
      <c r="J37" s="9">
        <f t="shared" si="4"/>
        <v>18.060000000000002</v>
      </c>
      <c r="K37" s="9">
        <f t="shared" si="5"/>
        <v>44.07</v>
      </c>
      <c r="L37" s="9">
        <f t="shared" si="6"/>
        <v>111.50999999999999</v>
      </c>
      <c r="M37" s="10">
        <f t="shared" si="7"/>
        <v>52.66</v>
      </c>
    </row>
    <row r="38" spans="1:13" ht="39.950000000000003" customHeight="1" x14ac:dyDescent="0.2">
      <c r="A38" s="6">
        <v>1220</v>
      </c>
      <c r="B38" s="7">
        <v>9845</v>
      </c>
      <c r="C38" s="8"/>
      <c r="D38" s="8">
        <f>1469+4265</f>
        <v>5734</v>
      </c>
      <c r="E38" s="7">
        <v>22945</v>
      </c>
      <c r="F38" s="7">
        <v>7687</v>
      </c>
      <c r="G38" s="29">
        <v>2661</v>
      </c>
      <c r="H38" s="23">
        <f t="shared" si="2"/>
        <v>155.35</v>
      </c>
      <c r="I38" s="9">
        <f t="shared" si="3"/>
        <v>9.02</v>
      </c>
      <c r="J38" s="9">
        <f t="shared" si="4"/>
        <v>74.75</v>
      </c>
      <c r="K38" s="9">
        <f t="shared" si="5"/>
        <v>273.52</v>
      </c>
      <c r="L38" s="9">
        <f t="shared" si="6"/>
        <v>153.22</v>
      </c>
      <c r="M38" s="10">
        <f t="shared" si="7"/>
        <v>52.959999999999994</v>
      </c>
    </row>
    <row r="39" spans="1:13" ht="39.950000000000003" customHeight="1" x14ac:dyDescent="0.2">
      <c r="A39" s="6">
        <v>1240</v>
      </c>
      <c r="B39" s="7">
        <v>9794</v>
      </c>
      <c r="C39" s="8"/>
      <c r="D39" s="8">
        <f>1559+4829</f>
        <v>6388</v>
      </c>
      <c r="E39" s="7">
        <v>22554</v>
      </c>
      <c r="F39" s="7">
        <v>7697</v>
      </c>
      <c r="G39" s="29">
        <v>2623</v>
      </c>
      <c r="H39" s="23">
        <f t="shared" si="2"/>
        <v>196.39000000000004</v>
      </c>
      <c r="I39" s="9">
        <f t="shared" si="3"/>
        <v>0</v>
      </c>
      <c r="J39" s="9">
        <f t="shared" si="4"/>
        <v>121.22</v>
      </c>
      <c r="K39" s="9">
        <f t="shared" si="5"/>
        <v>454.98999999999995</v>
      </c>
      <c r="L39" s="9">
        <f t="shared" si="6"/>
        <v>153.84</v>
      </c>
      <c r="M39" s="10">
        <f t="shared" si="7"/>
        <v>52.84</v>
      </c>
    </row>
    <row r="40" spans="1:13" ht="39.950000000000003" customHeight="1" x14ac:dyDescent="0.2">
      <c r="A40" s="6">
        <v>1260</v>
      </c>
      <c r="B40" s="7">
        <v>9456</v>
      </c>
      <c r="C40" s="8"/>
      <c r="D40" s="8">
        <f>1042+4016</f>
        <v>5058</v>
      </c>
      <c r="E40" s="7">
        <v>17693</v>
      </c>
      <c r="F40" s="7">
        <v>7713</v>
      </c>
      <c r="G40" s="29">
        <v>2639</v>
      </c>
      <c r="H40" s="23">
        <f t="shared" si="2"/>
        <v>192.5</v>
      </c>
      <c r="I40" s="9">
        <f t="shared" si="3"/>
        <v>0</v>
      </c>
      <c r="J40" s="9">
        <f t="shared" si="4"/>
        <v>114.46</v>
      </c>
      <c r="K40" s="9">
        <f t="shared" si="5"/>
        <v>402.47</v>
      </c>
      <c r="L40" s="9">
        <f t="shared" si="6"/>
        <v>154.1</v>
      </c>
      <c r="M40" s="10">
        <f t="shared" si="7"/>
        <v>52.620000000000005</v>
      </c>
    </row>
    <row r="41" spans="1:13" ht="39.950000000000003" customHeight="1" x14ac:dyDescent="0.2">
      <c r="A41" s="6">
        <v>1280</v>
      </c>
      <c r="B41" s="7">
        <v>13892</v>
      </c>
      <c r="C41" s="8"/>
      <c r="D41" s="8">
        <f>630+7163</f>
        <v>7793</v>
      </c>
      <c r="E41" s="7">
        <v>23319</v>
      </c>
      <c r="F41" s="7">
        <v>7697</v>
      </c>
      <c r="G41" s="29">
        <v>2639</v>
      </c>
      <c r="H41" s="23">
        <f t="shared" si="2"/>
        <v>233.48</v>
      </c>
      <c r="I41" s="9">
        <f t="shared" si="3"/>
        <v>0</v>
      </c>
      <c r="J41" s="9">
        <f t="shared" si="4"/>
        <v>128.51</v>
      </c>
      <c r="K41" s="9">
        <f t="shared" si="5"/>
        <v>410.12</v>
      </c>
      <c r="L41" s="9">
        <f t="shared" si="6"/>
        <v>154.1</v>
      </c>
      <c r="M41" s="10">
        <f t="shared" si="7"/>
        <v>52.779999999999994</v>
      </c>
    </row>
    <row r="42" spans="1:13" ht="39.950000000000003" customHeight="1" x14ac:dyDescent="0.2">
      <c r="A42" s="6">
        <v>1300</v>
      </c>
      <c r="B42" s="7">
        <v>18172</v>
      </c>
      <c r="C42" s="8"/>
      <c r="D42" s="8">
        <f>515+13612</f>
        <v>14127</v>
      </c>
      <c r="E42" s="7">
        <v>28566</v>
      </c>
      <c r="F42" s="7">
        <v>7610</v>
      </c>
      <c r="G42" s="29">
        <v>2606</v>
      </c>
      <c r="H42" s="23">
        <f t="shared" si="2"/>
        <v>320.64</v>
      </c>
      <c r="I42" s="9">
        <f t="shared" si="3"/>
        <v>0</v>
      </c>
      <c r="J42" s="9">
        <f t="shared" si="4"/>
        <v>219.20000000000002</v>
      </c>
      <c r="K42" s="9">
        <f t="shared" si="5"/>
        <v>518.85</v>
      </c>
      <c r="L42" s="9">
        <f t="shared" si="6"/>
        <v>153.07</v>
      </c>
      <c r="M42" s="10">
        <f t="shared" si="7"/>
        <v>52.449999999999989</v>
      </c>
    </row>
    <row r="43" spans="1:13" ht="39.950000000000003" customHeight="1" x14ac:dyDescent="0.2">
      <c r="A43" s="6">
        <v>1320</v>
      </c>
      <c r="B43" s="7">
        <v>26544</v>
      </c>
      <c r="C43" s="8"/>
      <c r="D43" s="8">
        <f>311+18023</f>
        <v>18334</v>
      </c>
      <c r="E43" s="7">
        <v>28416</v>
      </c>
      <c r="F43" s="7">
        <v>7436</v>
      </c>
      <c r="G43" s="29">
        <v>2560</v>
      </c>
      <c r="H43" s="23">
        <f t="shared" si="2"/>
        <v>447.16</v>
      </c>
      <c r="I43" s="9">
        <f t="shared" si="3"/>
        <v>0</v>
      </c>
      <c r="J43" s="9">
        <f t="shared" si="4"/>
        <v>324.61</v>
      </c>
      <c r="K43" s="9">
        <f t="shared" si="5"/>
        <v>569.81999999999994</v>
      </c>
      <c r="L43" s="9">
        <f t="shared" si="6"/>
        <v>150.45999999999998</v>
      </c>
      <c r="M43" s="10">
        <f t="shared" si="7"/>
        <v>51.660000000000004</v>
      </c>
    </row>
    <row r="44" spans="1:13" ht="39.950000000000003" customHeight="1" x14ac:dyDescent="0.2">
      <c r="A44" s="6">
        <v>1340</v>
      </c>
      <c r="B44" s="7">
        <v>36534</v>
      </c>
      <c r="C44" s="7">
        <v>493</v>
      </c>
      <c r="D44" s="8">
        <f>274+32760</f>
        <v>33034</v>
      </c>
      <c r="E44" s="7">
        <v>38877</v>
      </c>
      <c r="F44" s="7">
        <v>7388</v>
      </c>
      <c r="G44" s="29">
        <v>2536</v>
      </c>
      <c r="H44" s="23">
        <f t="shared" si="2"/>
        <v>630.78</v>
      </c>
      <c r="I44" s="9">
        <f t="shared" si="3"/>
        <v>4.93</v>
      </c>
      <c r="J44" s="9">
        <f t="shared" si="4"/>
        <v>513.67999999999995</v>
      </c>
      <c r="K44" s="9">
        <f t="shared" si="5"/>
        <v>672.93000000000006</v>
      </c>
      <c r="L44" s="9">
        <f t="shared" si="6"/>
        <v>148.24</v>
      </c>
      <c r="M44" s="10">
        <f t="shared" si="7"/>
        <v>50.96</v>
      </c>
    </row>
    <row r="45" spans="1:13" ht="39.950000000000003" customHeight="1" x14ac:dyDescent="0.2">
      <c r="A45" s="6">
        <v>1360</v>
      </c>
      <c r="B45" s="7">
        <v>34390</v>
      </c>
      <c r="C45" s="8"/>
      <c r="D45" s="8">
        <f>645+26808</f>
        <v>27453</v>
      </c>
      <c r="E45" s="7">
        <v>55039</v>
      </c>
      <c r="F45" s="7">
        <v>7381</v>
      </c>
      <c r="G45" s="29">
        <v>2535</v>
      </c>
      <c r="H45" s="23">
        <f t="shared" si="2"/>
        <v>709.24</v>
      </c>
      <c r="I45" s="9">
        <f t="shared" si="3"/>
        <v>4.93</v>
      </c>
      <c r="J45" s="9">
        <f t="shared" si="4"/>
        <v>604.86999999999989</v>
      </c>
      <c r="K45" s="9">
        <f t="shared" si="5"/>
        <v>939.16</v>
      </c>
      <c r="L45" s="9">
        <f t="shared" si="6"/>
        <v>147.69</v>
      </c>
      <c r="M45" s="10">
        <f t="shared" si="7"/>
        <v>50.709999999999994</v>
      </c>
    </row>
    <row r="46" spans="1:13" ht="39.950000000000003" customHeight="1" x14ac:dyDescent="0.2">
      <c r="A46" s="6">
        <v>1380</v>
      </c>
      <c r="B46" s="7">
        <v>35167</v>
      </c>
      <c r="C46" s="8"/>
      <c r="D46" s="8">
        <f>837+32018</f>
        <v>32855</v>
      </c>
      <c r="E46" s="7">
        <v>71195</v>
      </c>
      <c r="F46" s="7">
        <v>7453</v>
      </c>
      <c r="G46" s="29">
        <v>2559</v>
      </c>
      <c r="H46" s="23">
        <f t="shared" si="2"/>
        <v>695.57</v>
      </c>
      <c r="I46" s="9">
        <f t="shared" si="3"/>
        <v>0</v>
      </c>
      <c r="J46" s="9">
        <f t="shared" si="4"/>
        <v>603.07999999999993</v>
      </c>
      <c r="K46" s="9">
        <f t="shared" si="5"/>
        <v>1262.3399999999999</v>
      </c>
      <c r="L46" s="9">
        <f t="shared" si="6"/>
        <v>148.34</v>
      </c>
      <c r="M46" s="10">
        <f t="shared" si="7"/>
        <v>50.940000000000005</v>
      </c>
    </row>
    <row r="47" spans="1:13" ht="39.950000000000003" customHeight="1" x14ac:dyDescent="0.2">
      <c r="A47" s="6">
        <v>1400</v>
      </c>
      <c r="B47" s="7">
        <v>32709</v>
      </c>
      <c r="C47" s="8"/>
      <c r="D47" s="8">
        <f>2251+32693</f>
        <v>34944</v>
      </c>
      <c r="E47" s="7">
        <v>84918</v>
      </c>
      <c r="F47" s="7">
        <v>7712</v>
      </c>
      <c r="G47" s="29">
        <v>2645</v>
      </c>
      <c r="H47" s="23">
        <f t="shared" si="2"/>
        <v>678.76</v>
      </c>
      <c r="I47" s="9">
        <f t="shared" si="3"/>
        <v>0</v>
      </c>
      <c r="J47" s="9">
        <f t="shared" si="4"/>
        <v>677.99</v>
      </c>
      <c r="K47" s="9">
        <f t="shared" si="5"/>
        <v>1561.13</v>
      </c>
      <c r="L47" s="9">
        <f t="shared" si="6"/>
        <v>151.64999999999998</v>
      </c>
      <c r="M47" s="10">
        <f t="shared" si="7"/>
        <v>52.040000000000006</v>
      </c>
    </row>
    <row r="48" spans="1:13" ht="39.950000000000003" customHeight="1" x14ac:dyDescent="0.2">
      <c r="A48" s="6">
        <v>1420</v>
      </c>
      <c r="B48" s="7">
        <v>27947</v>
      </c>
      <c r="C48" s="8"/>
      <c r="D48" s="8">
        <f>1626+32730</f>
        <v>34356</v>
      </c>
      <c r="E48" s="7">
        <v>69945</v>
      </c>
      <c r="F48" s="7">
        <v>7893</v>
      </c>
      <c r="G48" s="29">
        <v>2699</v>
      </c>
      <c r="H48" s="23">
        <f t="shared" si="2"/>
        <v>606.56000000000006</v>
      </c>
      <c r="I48" s="9">
        <f t="shared" si="3"/>
        <v>0</v>
      </c>
      <c r="J48" s="9">
        <f t="shared" si="4"/>
        <v>693.00000000000011</v>
      </c>
      <c r="K48" s="9">
        <f t="shared" si="5"/>
        <v>1548.63</v>
      </c>
      <c r="L48" s="9">
        <f t="shared" si="6"/>
        <v>156.05000000000001</v>
      </c>
      <c r="M48" s="10">
        <f t="shared" si="7"/>
        <v>53.44</v>
      </c>
    </row>
    <row r="49" spans="1:13" ht="39.950000000000003" customHeight="1" x14ac:dyDescent="0.2">
      <c r="A49" s="6">
        <v>1440</v>
      </c>
      <c r="B49" s="7">
        <v>23783</v>
      </c>
      <c r="C49" s="8"/>
      <c r="D49" s="8">
        <f>762+27844</f>
        <v>28606</v>
      </c>
      <c r="E49" s="7">
        <v>56330</v>
      </c>
      <c r="F49" s="7">
        <v>7893</v>
      </c>
      <c r="G49" s="29">
        <v>2699</v>
      </c>
      <c r="H49" s="23">
        <f t="shared" si="2"/>
        <v>517.30000000000007</v>
      </c>
      <c r="I49" s="9">
        <f t="shared" si="3"/>
        <v>0</v>
      </c>
      <c r="J49" s="9">
        <f t="shared" si="4"/>
        <v>629.62</v>
      </c>
      <c r="K49" s="9">
        <f t="shared" si="5"/>
        <v>1262.75</v>
      </c>
      <c r="L49" s="9">
        <f t="shared" si="6"/>
        <v>157.85999999999999</v>
      </c>
      <c r="M49" s="10">
        <f t="shared" si="7"/>
        <v>53.98</v>
      </c>
    </row>
    <row r="50" spans="1:13" ht="39.950000000000003" customHeight="1" x14ac:dyDescent="0.2">
      <c r="A50" s="6">
        <v>1460</v>
      </c>
      <c r="B50" s="7">
        <v>22198</v>
      </c>
      <c r="C50" s="8">
        <v>68</v>
      </c>
      <c r="D50" s="8">
        <f>245+17294</f>
        <v>17539</v>
      </c>
      <c r="E50" s="7">
        <v>37471</v>
      </c>
      <c r="F50" s="7">
        <v>7838</v>
      </c>
      <c r="G50" s="29">
        <v>2696</v>
      </c>
      <c r="H50" s="23">
        <f t="shared" si="2"/>
        <v>459.81</v>
      </c>
      <c r="I50" s="9">
        <f t="shared" si="3"/>
        <v>0.68</v>
      </c>
      <c r="J50" s="9">
        <f t="shared" si="4"/>
        <v>461.45000000000005</v>
      </c>
      <c r="K50" s="9">
        <f t="shared" si="5"/>
        <v>938.00999999999988</v>
      </c>
      <c r="L50" s="9">
        <f t="shared" si="6"/>
        <v>157.31</v>
      </c>
      <c r="M50" s="10">
        <f t="shared" si="7"/>
        <v>53.949999999999996</v>
      </c>
    </row>
    <row r="51" spans="1:13" ht="39.950000000000003" customHeight="1" x14ac:dyDescent="0.2">
      <c r="A51" s="6">
        <v>1480</v>
      </c>
      <c r="B51" s="7">
        <v>18393</v>
      </c>
      <c r="C51" s="8">
        <v>949</v>
      </c>
      <c r="D51" s="8">
        <f>146+8435</f>
        <v>8581</v>
      </c>
      <c r="E51" s="7">
        <v>22420</v>
      </c>
      <c r="F51" s="7">
        <v>7554</v>
      </c>
      <c r="G51" s="29">
        <v>2618</v>
      </c>
      <c r="H51" s="23">
        <f t="shared" si="2"/>
        <v>405.91</v>
      </c>
      <c r="I51" s="9">
        <f t="shared" si="3"/>
        <v>10.169999999999998</v>
      </c>
      <c r="J51" s="9">
        <f t="shared" si="4"/>
        <v>261.2</v>
      </c>
      <c r="K51" s="9">
        <f t="shared" si="5"/>
        <v>598.91</v>
      </c>
      <c r="L51" s="9">
        <f t="shared" si="6"/>
        <v>153.91999999999999</v>
      </c>
      <c r="M51" s="10">
        <f t="shared" si="7"/>
        <v>53.14</v>
      </c>
    </row>
    <row r="52" spans="1:13" ht="39.950000000000003" customHeight="1" x14ac:dyDescent="0.2">
      <c r="A52" s="6">
        <v>1500</v>
      </c>
      <c r="B52" s="7">
        <v>19237</v>
      </c>
      <c r="C52" s="7">
        <v>10732</v>
      </c>
      <c r="D52" s="8">
        <f>31+724</f>
        <v>755</v>
      </c>
      <c r="E52" s="7">
        <v>2513</v>
      </c>
      <c r="F52" s="7">
        <v>5122</v>
      </c>
      <c r="G52" s="29">
        <v>2582</v>
      </c>
      <c r="H52" s="23">
        <f t="shared" si="2"/>
        <v>376.29999999999995</v>
      </c>
      <c r="I52" s="9">
        <f t="shared" si="3"/>
        <v>116.80999999999999</v>
      </c>
      <c r="J52" s="9">
        <f t="shared" si="4"/>
        <v>93.36</v>
      </c>
      <c r="K52" s="9">
        <f t="shared" si="5"/>
        <v>249.32999999999998</v>
      </c>
      <c r="L52" s="9">
        <f t="shared" si="6"/>
        <v>126.76</v>
      </c>
      <c r="M52" s="10">
        <f t="shared" si="7"/>
        <v>51.999999999999993</v>
      </c>
    </row>
    <row r="53" spans="1:13" ht="39.950000000000003" customHeight="1" x14ac:dyDescent="0.2">
      <c r="A53" s="6">
        <v>1520</v>
      </c>
      <c r="B53" s="7">
        <v>23725</v>
      </c>
      <c r="C53" s="7">
        <v>22862</v>
      </c>
      <c r="D53" s="8">
        <f>415+30</f>
        <v>445</v>
      </c>
      <c r="E53" s="8"/>
      <c r="F53" s="7">
        <v>3046</v>
      </c>
      <c r="G53" s="29">
        <v>2668</v>
      </c>
      <c r="H53" s="23">
        <f t="shared" si="2"/>
        <v>429.62</v>
      </c>
      <c r="I53" s="9">
        <f t="shared" si="3"/>
        <v>335.93999999999994</v>
      </c>
      <c r="J53" s="9">
        <f t="shared" si="4"/>
        <v>12</v>
      </c>
      <c r="K53" s="9">
        <f t="shared" si="5"/>
        <v>25.13</v>
      </c>
      <c r="L53" s="9">
        <f t="shared" si="6"/>
        <v>81.679999999999993</v>
      </c>
      <c r="M53" s="10">
        <f t="shared" si="7"/>
        <v>52.5</v>
      </c>
    </row>
    <row r="54" spans="1:13" ht="39.950000000000003" customHeight="1" x14ac:dyDescent="0.2">
      <c r="A54" s="6">
        <v>1540</v>
      </c>
      <c r="B54" s="7">
        <v>26198</v>
      </c>
      <c r="C54" s="7">
        <v>37817</v>
      </c>
      <c r="D54" s="8">
        <f>31+34</f>
        <v>65</v>
      </c>
      <c r="E54" s="8"/>
      <c r="F54" s="7">
        <v>3241</v>
      </c>
      <c r="G54" s="29">
        <v>2864</v>
      </c>
      <c r="H54" s="23">
        <f t="shared" si="2"/>
        <v>499.23</v>
      </c>
      <c r="I54" s="9">
        <f t="shared" si="3"/>
        <v>606.79</v>
      </c>
      <c r="J54" s="9">
        <f t="shared" si="4"/>
        <v>5.0999999999999996</v>
      </c>
      <c r="K54" s="9">
        <f t="shared" si="5"/>
        <v>0</v>
      </c>
      <c r="L54" s="9">
        <f t="shared" si="6"/>
        <v>62.87</v>
      </c>
      <c r="M54" s="10">
        <f t="shared" si="7"/>
        <v>55.32</v>
      </c>
    </row>
    <row r="55" spans="1:13" ht="39.950000000000003" customHeight="1" x14ac:dyDescent="0.2">
      <c r="A55" s="6">
        <v>1560</v>
      </c>
      <c r="B55" s="7">
        <v>28071</v>
      </c>
      <c r="C55" s="7">
        <v>65001</v>
      </c>
      <c r="D55" s="8">
        <f>31+34</f>
        <v>65</v>
      </c>
      <c r="E55" s="8"/>
      <c r="F55" s="7">
        <v>3482</v>
      </c>
      <c r="G55" s="29">
        <v>3038</v>
      </c>
      <c r="H55" s="23">
        <f t="shared" si="2"/>
        <v>542.69000000000005</v>
      </c>
      <c r="I55" s="9">
        <f t="shared" si="3"/>
        <v>1028.18</v>
      </c>
      <c r="J55" s="9">
        <f t="shared" si="4"/>
        <v>1.3</v>
      </c>
      <c r="K55" s="9">
        <f t="shared" si="5"/>
        <v>0</v>
      </c>
      <c r="L55" s="9">
        <f t="shared" si="6"/>
        <v>67.23</v>
      </c>
      <c r="M55" s="10">
        <f t="shared" si="7"/>
        <v>59.019999999999996</v>
      </c>
    </row>
    <row r="56" spans="1:13" ht="39.950000000000003" customHeight="1" x14ac:dyDescent="0.2">
      <c r="A56" s="6">
        <v>1580</v>
      </c>
      <c r="B56" s="7">
        <v>29646</v>
      </c>
      <c r="C56" s="7">
        <v>65975</v>
      </c>
      <c r="D56" s="8">
        <f>31+34</f>
        <v>65</v>
      </c>
      <c r="E56" s="8"/>
      <c r="F56" s="7">
        <v>3952</v>
      </c>
      <c r="G56" s="29">
        <v>3424</v>
      </c>
      <c r="H56" s="23">
        <f t="shared" si="2"/>
        <v>577.16999999999996</v>
      </c>
      <c r="I56" s="9">
        <f t="shared" si="3"/>
        <v>1309.76</v>
      </c>
      <c r="J56" s="9">
        <f t="shared" si="4"/>
        <v>1.3</v>
      </c>
      <c r="K56" s="9">
        <f t="shared" si="5"/>
        <v>0</v>
      </c>
      <c r="L56" s="9">
        <f t="shared" si="6"/>
        <v>74.34</v>
      </c>
      <c r="M56" s="10">
        <f t="shared" si="7"/>
        <v>64.62</v>
      </c>
    </row>
    <row r="57" spans="1:13" ht="39.950000000000003" customHeight="1" thickBot="1" x14ac:dyDescent="0.25">
      <c r="A57" s="11">
        <v>1600</v>
      </c>
      <c r="B57" s="12">
        <v>36750</v>
      </c>
      <c r="C57" s="12">
        <v>83558</v>
      </c>
      <c r="D57" s="13">
        <f>31+34</f>
        <v>65</v>
      </c>
      <c r="E57" s="13"/>
      <c r="F57" s="12">
        <v>5926</v>
      </c>
      <c r="G57" s="30">
        <v>4872</v>
      </c>
      <c r="H57" s="24">
        <f t="shared" si="2"/>
        <v>663.96</v>
      </c>
      <c r="I57" s="14">
        <f t="shared" si="3"/>
        <v>1495.3300000000002</v>
      </c>
      <c r="J57" s="14">
        <f t="shared" si="4"/>
        <v>1.3</v>
      </c>
      <c r="K57" s="14">
        <f t="shared" si="5"/>
        <v>0</v>
      </c>
      <c r="L57" s="14">
        <f t="shared" si="6"/>
        <v>98.78</v>
      </c>
      <c r="M57" s="15">
        <f t="shared" si="7"/>
        <v>82.96</v>
      </c>
    </row>
    <row r="58" spans="1:13" ht="21.95" customHeight="1" x14ac:dyDescent="0.25">
      <c r="A58" s="6"/>
      <c r="B58" s="16">
        <f t="shared" ref="B58:G58" si="10">SUM(B3:B57)/1000</f>
        <v>1141.098</v>
      </c>
      <c r="C58" s="16">
        <f t="shared" si="10"/>
        <v>432.892</v>
      </c>
      <c r="D58" s="16">
        <f t="shared" si="10"/>
        <v>527.98500000000001</v>
      </c>
      <c r="E58" s="16">
        <f t="shared" si="10"/>
        <v>1563.508</v>
      </c>
      <c r="F58" s="16">
        <f t="shared" si="10"/>
        <v>421.84699999999998</v>
      </c>
      <c r="G58" s="31">
        <f t="shared" si="10"/>
        <v>164.185</v>
      </c>
      <c r="H58" s="25">
        <f t="shared" ref="H58:M58" si="11">SUM(H3:H57)</f>
        <v>35492.170000000006</v>
      </c>
      <c r="I58" s="16">
        <f t="shared" si="11"/>
        <v>8123.81</v>
      </c>
      <c r="J58" s="16">
        <f t="shared" si="11"/>
        <v>15564.579999999998</v>
      </c>
      <c r="K58" s="16">
        <f t="shared" si="11"/>
        <v>51171.799999999988</v>
      </c>
      <c r="L58" s="16">
        <f t="shared" si="11"/>
        <v>13803.47</v>
      </c>
      <c r="M58" s="17">
        <f t="shared" si="11"/>
        <v>5142.0999999999976</v>
      </c>
    </row>
    <row r="59" spans="1:13" ht="21.95" customHeight="1" x14ac:dyDescent="0.2">
      <c r="A59" s="18"/>
      <c r="B59" s="19"/>
      <c r="C59" s="19"/>
      <c r="D59" s="19"/>
      <c r="E59" s="19"/>
      <c r="F59" s="19"/>
      <c r="G59" s="32"/>
      <c r="H59" s="26"/>
      <c r="I59" s="19"/>
      <c r="J59" s="19"/>
      <c r="K59" s="19"/>
      <c r="L59" s="19"/>
      <c r="M59" s="20"/>
    </row>
    <row r="60" spans="1:13" ht="21.95" customHeight="1" x14ac:dyDescent="0.2"/>
    <row r="61" spans="1:13" ht="21.95" customHeight="1" x14ac:dyDescent="0.2"/>
    <row r="62" spans="1:13" ht="21.95" customHeight="1" x14ac:dyDescent="0.2"/>
    <row r="63" spans="1:13" ht="21.95" customHeight="1" x14ac:dyDescent="0.2"/>
    <row r="64" spans="1:13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</sheetData>
  <mergeCells count="1">
    <mergeCell ref="A1:A2"/>
  </mergeCells>
  <phoneticPr fontId="0" type="noConversion"/>
  <pageMargins left="0.75" right="0.75" top="1" bottom="1" header="0.5" footer="0.5"/>
  <pageSetup paperSize="8" scale="96" fitToHeight="10" orientation="landscape" horizontalDpi="300" verticalDpi="300" r:id="rId1"/>
  <headerFooter alignWithMargins="0">
    <oddFooter>&amp;L&amp;F/&amp;A&amp;R&amp;P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TILBOÐSBÓK</vt:lpstr>
      <vt:lpstr>SAFNBLAÐ</vt:lpstr>
      <vt:lpstr>TILBOÐSSKRÁ</vt:lpstr>
      <vt:lpstr>Magn.reikn</vt:lpstr>
      <vt:lpstr>TILBOÐSSKRÁ!Print_Area</vt:lpstr>
      <vt:lpstr>Magn.reikn!Print_Titles</vt:lpstr>
      <vt:lpstr>TILBOÐSSKRÁ!Print_Titles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Silfursmári - Tilboðsskrá</dc:title>
  <dc:creator>Starfsmenn</dc:creator>
  <cp:lastModifiedBy>Úlfar Kristinsson</cp:lastModifiedBy>
  <cp:lastPrinted>2019-05-06T17:58:01Z</cp:lastPrinted>
  <dcterms:created xsi:type="dcterms:W3CDTF">1999-01-30T02:52:52Z</dcterms:created>
  <dcterms:modified xsi:type="dcterms:W3CDTF">2019-07-03T15:52:01Z</dcterms:modified>
</cp:coreProperties>
</file>